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60" windowHeight="5340" tabRatio="893" activeTab="4"/>
  </bookViews>
  <sheets>
    <sheet name="Informativa Privacy" sheetId="1" r:id="rId1"/>
    <sheet name="Supporti Audio Video Dati_v2" sheetId="2" r:id="rId2"/>
    <sheet name="Supporti - Memorie_v2" sheetId="3" r:id="rId3"/>
    <sheet name="Apparecchi c.Mem Hard Disk_v2" sheetId="4" r:id="rId4"/>
    <sheet name="Apparecchi s.Mem Hard Disk_v2" sheetId="5" r:id="rId5"/>
  </sheets>
  <definedNames>
    <definedName name="_xlnm.Print_Area" localSheetId="3">'Apparecchi c.Mem Hard Disk_v2'!$A$1:$M$134</definedName>
    <definedName name="_xlnm.Print_Area" localSheetId="0">'Informativa Privacy'!$A$1:$L$34</definedName>
    <definedName name="_xlnm.Print_Area" localSheetId="2">'Supporti - Memorie_v2'!$A$1:$L$62</definedName>
  </definedNames>
  <calcPr fullCalcOnLoad="1"/>
</workbook>
</file>

<file path=xl/sharedStrings.xml><?xml version="1.0" encoding="utf-8"?>
<sst xmlns="http://schemas.openxmlformats.org/spreadsheetml/2006/main" count="760" uniqueCount="265">
  <si>
    <t>Capacità</t>
  </si>
  <si>
    <t>Compenso totale</t>
  </si>
  <si>
    <t>Compenso Unitario</t>
  </si>
  <si>
    <t>Compenso unitario</t>
  </si>
  <si>
    <t>fino a 1 Gb</t>
  </si>
  <si>
    <t>da &gt;1Gb fino a 5 Gb</t>
  </si>
  <si>
    <t>da &gt;5 Gb fino a 10 Gb</t>
  </si>
  <si>
    <t>da &gt;10 Gb fino a 20 Gb</t>
  </si>
  <si>
    <t>da &gt;20 Gb fino a 40 Gb</t>
  </si>
  <si>
    <t>da &gt;40 Gb fino a 80 Gb</t>
  </si>
  <si>
    <t>da &gt;80 Gb fino a 120 Gb</t>
  </si>
  <si>
    <t>da &gt;120 Gb fino a 160 Gb</t>
  </si>
  <si>
    <t>da &gt;160 Gb fino a 250 Gb</t>
  </si>
  <si>
    <t>TOTALE</t>
  </si>
  <si>
    <t>fino a 128 Mb</t>
  </si>
  <si>
    <t>da &gt;128 Mb fino a 512 Mb</t>
  </si>
  <si>
    <t>da &gt;512 Mb fino a 1 Gb</t>
  </si>
  <si>
    <t>da &gt;10 Gb a 15 Gb</t>
  </si>
  <si>
    <t>fino a 80 Gb</t>
  </si>
  <si>
    <t>fino a 40 Gb</t>
  </si>
  <si>
    <t>da  &gt;40 Gb fino a 80 Gb</t>
  </si>
  <si>
    <t>Con masterizzatore</t>
  </si>
  <si>
    <t>Senza masterizzatore</t>
  </si>
  <si>
    <t>fino a 256 Mb</t>
  </si>
  <si>
    <t>da &gt;256 Mb fino a 384 Mb</t>
  </si>
  <si>
    <t>da &gt;384 Mb fino a 512 Mb</t>
  </si>
  <si>
    <t>da &gt;1 Gb fino a 5 Gb</t>
  </si>
  <si>
    <t>TOTALE DICHIARAZIONE</t>
  </si>
  <si>
    <t xml:space="preserve">IVA </t>
  </si>
  <si>
    <t>TOTALE DA PAGARE</t>
  </si>
  <si>
    <t xml:space="preserve">DICHIARAZIONE VENDITE SUPPORTI (ART. 71-SEPTIES, 3, L.D.A.) RELATIVA AL TRIMESTRE </t>
  </si>
  <si>
    <t>Ragione Sociale/Denomin.Impresa</t>
  </si>
  <si>
    <t>Indirizzo</t>
  </si>
  <si>
    <t>Codice Fiscale</t>
  </si>
  <si>
    <t>Codice SIAE</t>
  </si>
  <si>
    <t>Riservato SIAE</t>
  </si>
  <si>
    <t xml:space="preserve">Ragione sociale/Denominazione impresa </t>
  </si>
  <si>
    <t>CODICE</t>
  </si>
  <si>
    <t>Partita IVA</t>
  </si>
  <si>
    <t>Unità non assoggettate</t>
  </si>
  <si>
    <t>Unità in liquidazione</t>
  </si>
  <si>
    <t>IVA</t>
  </si>
  <si>
    <t>D.M. 30/12/2009 lett. r) Memoria o Hard Disk integrato in apparecchio multimediale audio-video</t>
  </si>
  <si>
    <t>D.M. 30/12/2009 lett. s) Memoria o Hard Disk integrato in lettore Mp3 o analoghi</t>
  </si>
  <si>
    <t>D.M. 30/12/2009 lett. t) Hard Disk multimediale per riproduzione audio/video</t>
  </si>
  <si>
    <t>D.M. 30/12/2009 lett. u) Hard Disk multimediale per riproduzione e registrazione audio/video</t>
  </si>
  <si>
    <t>D.M. 30/12/2009 lett. v) Memoria o Hard Disk integrato in videoregistratore, decoder, tv</t>
  </si>
  <si>
    <t>D.M. 30/12/2009 lett. w) Memoria o Hard Disk integrato in dispositivo di comunicazione</t>
  </si>
  <si>
    <t>D.M. 30/12/2009 lett. x) Memoria o Hard Disk integrato in altro dispositivo</t>
  </si>
  <si>
    <t>D.M. 30/12/2009 lett. y) Computer</t>
  </si>
  <si>
    <t>Masterizzatori CD non inseriti in PC</t>
  </si>
  <si>
    <t>Masterizzatori DVD non inseriti in PC</t>
  </si>
  <si>
    <t>Imponibile</t>
  </si>
  <si>
    <t>Descrizione lett. da a) a m) D.M. 30/12/2009</t>
  </si>
  <si>
    <t>Audiocassetta 30 minuti</t>
  </si>
  <si>
    <t>Audiocassetta 60 minuti</t>
  </si>
  <si>
    <t>Audiocassetta 90 minuti</t>
  </si>
  <si>
    <t>Audiocassetta 120 minuti</t>
  </si>
  <si>
    <t>Videocassetta 30 minuti</t>
  </si>
  <si>
    <t>Videocassetta 60 minuti</t>
  </si>
  <si>
    <t>Videocassetta 90 minuti</t>
  </si>
  <si>
    <t>Videocassetta 120 minuti</t>
  </si>
  <si>
    <t>Videocassetta 180 minuti</t>
  </si>
  <si>
    <t>Videocassetta 240 minuti</t>
  </si>
  <si>
    <t>Mini DVD 1,4 GB</t>
  </si>
  <si>
    <t>Capacità (Gb)</t>
  </si>
  <si>
    <t>Descrizione - lett. o) D.M. 30/12/2009</t>
  </si>
  <si>
    <t>Descrizione - lett. p) D.M. 30/12/2009</t>
  </si>
  <si>
    <t>Descrizione - lett. q) D.M. 30/12/2009</t>
  </si>
  <si>
    <t>D.M. 30/12/2009 lett. n) n bis) Apparecchi di registrazione senza memoria o hard disk integrati</t>
  </si>
  <si>
    <t>Altri apparecchi di registrazione monofunzionali audio</t>
  </si>
  <si>
    <t>Altri apparecchi di registrazione monofunzionali video</t>
  </si>
  <si>
    <t>Altri apparecchi di registrazione polifunzionali audio</t>
  </si>
  <si>
    <t>Altri apparecchi di registrazione polifunzionali video</t>
  </si>
  <si>
    <t>Audiocassetta 46 minuti</t>
  </si>
  <si>
    <t>CD-R Audio 74 minuti</t>
  </si>
  <si>
    <t>CD-R Audio 80 minuti</t>
  </si>
  <si>
    <t>CD-RW Audio 74 minuti</t>
  </si>
  <si>
    <t>CD-RW Audio 80 minuti</t>
  </si>
  <si>
    <t>DVD-RW video 30 minuti</t>
  </si>
  <si>
    <t>DVD-RW video 60 minuti</t>
  </si>
  <si>
    <t>DVD-RW video 120 minuti</t>
  </si>
  <si>
    <t>DVD-RW video 240 minuti</t>
  </si>
  <si>
    <t xml:space="preserve">DVD-RW 2,8 GB </t>
  </si>
  <si>
    <t>DVD-RW 4,7 GB</t>
  </si>
  <si>
    <t xml:space="preserve">DVD-RW 8,5 GB </t>
  </si>
  <si>
    <t xml:space="preserve">DVD-RW 9,4 GB </t>
  </si>
  <si>
    <t>BLU RAY 25 GB</t>
  </si>
  <si>
    <t>BLU RAY RW 25 GB</t>
  </si>
  <si>
    <t>BLU RAY 50 GB</t>
  </si>
  <si>
    <t>BLU RAY RW 50 GB</t>
  </si>
  <si>
    <t>HD-DVD 15 GB</t>
  </si>
  <si>
    <t>HD-DVD RW 15 GB</t>
  </si>
  <si>
    <t>D-VHS 30 minuti</t>
  </si>
  <si>
    <t>D-VHS 60 minuti</t>
  </si>
  <si>
    <t>D-VHS 90 minuti</t>
  </si>
  <si>
    <t>D-VHS 120 minuti</t>
  </si>
  <si>
    <t>D-VHS 180 minuti</t>
  </si>
  <si>
    <t>D-VHS 240 minuti</t>
  </si>
  <si>
    <t>CD-R Audio 60 minuti</t>
  </si>
  <si>
    <t>CD-RW Audio 60 minuti</t>
  </si>
  <si>
    <t>Minidisc 60 minuti</t>
  </si>
  <si>
    <t>Minidisc 74 minuti</t>
  </si>
  <si>
    <t>Minidisc 80 minuti</t>
  </si>
  <si>
    <t>Minidisc 148 minuti</t>
  </si>
  <si>
    <t>MINI CD 200 Mb</t>
  </si>
  <si>
    <t>CD-CARD 70 Mb</t>
  </si>
  <si>
    <t>CD-CARD 66 Mb</t>
  </si>
  <si>
    <t>CD-CARD 50 Mb</t>
  </si>
  <si>
    <t>CD-CARD 35 Mb</t>
  </si>
  <si>
    <t>CD-R DATI 650 Mb</t>
  </si>
  <si>
    <t>CD-R DATI 700 Mb</t>
  </si>
  <si>
    <t>CD-R DATI  800 Mb</t>
  </si>
  <si>
    <t>CD-RW DATI 650 Mb</t>
  </si>
  <si>
    <t>CD-RW DATI 700 Mb</t>
  </si>
  <si>
    <t>CD-RW DATI  800 Mb</t>
  </si>
  <si>
    <t>MINI CD 180 Mb</t>
  </si>
  <si>
    <t>MINI CD 210 Mb</t>
  </si>
  <si>
    <t>MINI CD 250 Mb</t>
  </si>
  <si>
    <t>MINI CD 1 Gb</t>
  </si>
  <si>
    <t>A</t>
  </si>
  <si>
    <t>B</t>
  </si>
  <si>
    <t>CD-R Audio 100 minuti</t>
  </si>
  <si>
    <t>CD-RW Audio 100 minuti</t>
  </si>
  <si>
    <t>C</t>
  </si>
  <si>
    <t>D</t>
  </si>
  <si>
    <t>J</t>
  </si>
  <si>
    <t>G</t>
  </si>
  <si>
    <t>H</t>
  </si>
  <si>
    <t>L</t>
  </si>
  <si>
    <t>CD-R DATI 1300 Mb</t>
  </si>
  <si>
    <t>CD-RW DATI 1300Mb</t>
  </si>
  <si>
    <t>M</t>
  </si>
  <si>
    <t>N</t>
  </si>
  <si>
    <t>DVD - R video 30 minuti</t>
  </si>
  <si>
    <t>DVD -R video 60 minuti</t>
  </si>
  <si>
    <t>DVD- R video 120 minuti</t>
  </si>
  <si>
    <t>DVD - R video 240 minuti</t>
  </si>
  <si>
    <t>O</t>
  </si>
  <si>
    <t>P</t>
  </si>
  <si>
    <t xml:space="preserve">DVD R 2,8 GB </t>
  </si>
  <si>
    <t>DVD R  4,7 GB</t>
  </si>
  <si>
    <t xml:space="preserve">DVD R 8,5 GB </t>
  </si>
  <si>
    <t>Q</t>
  </si>
  <si>
    <t>R</t>
  </si>
  <si>
    <t>DVD R 9,4 GB DUAL LAYER</t>
  </si>
  <si>
    <t>S</t>
  </si>
  <si>
    <t>DVD RAM 9.4 GB</t>
  </si>
  <si>
    <t>DVD RAM 8.5 GB</t>
  </si>
  <si>
    <t>DVD RAM 4.7 GB</t>
  </si>
  <si>
    <t>DVD RAM 2.8 GB</t>
  </si>
  <si>
    <t>U</t>
  </si>
  <si>
    <t>o) MEMORIE TRASFERIBILI 512 Mb</t>
  </si>
  <si>
    <t>o) MEMORIE TRASFERIBILI 1 Gb</t>
  </si>
  <si>
    <t>o) MEMORIE TRASFERIBILI 2 Gb</t>
  </si>
  <si>
    <t>o) MEMORIE TRASFERIBILI 4 Gb</t>
  </si>
  <si>
    <t>o) MEMORIE TRASFERIBILI 8 Gb</t>
  </si>
  <si>
    <t>o) MEMORIE TRASFERIBILI 16 Gb</t>
  </si>
  <si>
    <t>o) MEMORIE TRASFERIBILI 32 Gb</t>
  </si>
  <si>
    <t>p) USB STICK 512 Mb</t>
  </si>
  <si>
    <t>p) USB STICK 1 Gb</t>
  </si>
  <si>
    <t>p) USB STICK 2 Gb</t>
  </si>
  <si>
    <t>p) USB STICK 4 Gb</t>
  </si>
  <si>
    <t>p) USB STICK 8 Gb</t>
  </si>
  <si>
    <t>p) USB STICK 16 Gb</t>
  </si>
  <si>
    <t>p) USB STICK 32 Gb</t>
  </si>
  <si>
    <t>p) USB STICK 64 Gb</t>
  </si>
  <si>
    <t>q) HARD DISK ESTERNI 80 Gb</t>
  </si>
  <si>
    <t>q) HARD DISK ESTERNI 160 Gb</t>
  </si>
  <si>
    <t>q) HARD DISK ESTERNI 200 Gb</t>
  </si>
  <si>
    <t>q) HARD DISK ESTERNI 250 Gb</t>
  </si>
  <si>
    <t>q) HARD DISK ESTERNI 320 Gb</t>
  </si>
  <si>
    <t>q) HARD DISK ESTERNI 400 Gb</t>
  </si>
  <si>
    <t>q) HARD DISK ESTERNI 500 Gb</t>
  </si>
  <si>
    <t>q) HARD DISK ESTERNI 640 Gb</t>
  </si>
  <si>
    <t>q) HARD DISK ESTERNI 720 Gb</t>
  </si>
  <si>
    <t>q) HARD DISK ESTERNI 1000 Gb</t>
  </si>
  <si>
    <t>q) HARD DISK ESTERNI 120 Gb</t>
  </si>
  <si>
    <t>E</t>
  </si>
  <si>
    <t>Riservato SIAE Codice</t>
  </si>
  <si>
    <t>T</t>
  </si>
  <si>
    <t>Dispositivo di comunicazione</t>
  </si>
  <si>
    <t>SOCIETA’ ITALIANA DEGLI AUTORI ED EDITORI (S.I.A.E.)</t>
  </si>
  <si>
    <t>La legge indicata in oggetto disciplina la riservatezza dei dati personali ed impone una serie di obblighi in capo a chi “tratta” i dati personali di altri soggetti. Tra gli adempimenti da rispettare ci sono quelli di:</t>
  </si>
  <si>
    <t>A) INFORMATIVA RESA AI SENSI DELL’ART. 13 D. L.vo 196/03.</t>
  </si>
  <si>
    <t>raccolta</t>
  </si>
  <si>
    <t>modificazione</t>
  </si>
  <si>
    <t>interconnessione</t>
  </si>
  <si>
    <t>registrazione</t>
  </si>
  <si>
    <t>selezione</t>
  </si>
  <si>
    <t>blocco</t>
  </si>
  <si>
    <t xml:space="preserve">organizzazione </t>
  </si>
  <si>
    <t>estrazione</t>
  </si>
  <si>
    <t>cancellazione</t>
  </si>
  <si>
    <t>conservazione</t>
  </si>
  <si>
    <t>consultazione</t>
  </si>
  <si>
    <t>raffronto</t>
  </si>
  <si>
    <t>distruzione</t>
  </si>
  <si>
    <t>elaborazione</t>
  </si>
  <si>
    <t>utilizzo</t>
  </si>
  <si>
    <t>comunicazione</t>
  </si>
  <si>
    <t xml:space="preserve">diffusione </t>
  </si>
  <si>
    <t>di dati, anche se non registrati in una banca dati.</t>
  </si>
  <si>
    <t>° su supporto digitale e/o cartaceo;</t>
  </si>
  <si>
    <t>° da soggetti autorizzati all’assolvimento di tali compiti, costantemente identificati ed “incaricati” ai sensi dell’art. 4 lett. g) ed opportunamente istruiti dei vincoli posti dal D. L.vo 196/03;</t>
  </si>
  <si>
    <t>° con l’impiego di misure di sicurezza atte a:</t>
  </si>
  <si>
    <t xml:space="preserve">    - garantire la riservatezza del soggetto interessato cui i dati si riferiscono;</t>
  </si>
  <si>
    <t xml:space="preserve">     - evitare l’indebito accesso a soggetti terzi o a personale non autorizzato.</t>
  </si>
  <si>
    <t>IL TITOLARE</t>
  </si>
  <si>
    <t>Società Italiana Autori ed Editori (S.I.A.E)</t>
  </si>
  <si>
    <r>
      <t>Oggetto: Informativa resa ai sensi dell’art.13 del D. L.vo  30 giugno 2003 n. 196 “</t>
    </r>
    <r>
      <rPr>
        <i/>
        <sz val="8"/>
        <color indexed="8"/>
        <rFont val="Arial"/>
        <family val="2"/>
      </rPr>
      <t>Codice in materia di protezione dei dati personali”</t>
    </r>
    <r>
      <rPr>
        <sz val="8"/>
        <color indexed="8"/>
        <rFont val="Arial"/>
        <family val="2"/>
      </rPr>
      <t>.</t>
    </r>
  </si>
  <si>
    <r>
      <t>a)</t>
    </r>
    <r>
      <rPr>
        <sz val="8"/>
        <color indexed="8"/>
        <rFont val="Times New Roman"/>
        <family val="1"/>
      </rPr>
      <t xml:space="preserve">     </t>
    </r>
    <r>
      <rPr>
        <sz val="8"/>
        <color indexed="8"/>
        <rFont val="Arial"/>
        <family val="2"/>
      </rPr>
      <t>informare la persona cui i dati si riferiscono in merito all’utilizzo che viene fatto delle relative informazioni;</t>
    </r>
  </si>
  <si>
    <r>
      <t>b)</t>
    </r>
    <r>
      <rPr>
        <sz val="8"/>
        <color indexed="8"/>
        <rFont val="Times New Roman"/>
        <family val="1"/>
      </rPr>
      <t xml:space="preserve">     </t>
    </r>
    <r>
      <rPr>
        <sz val="8"/>
        <color indexed="8"/>
        <rFont val="Arial"/>
        <family val="2"/>
      </rPr>
      <t xml:space="preserve">chiedere il consenso espresso dell’interessato allo svolgimento delle relative operazioni.  </t>
    </r>
  </si>
  <si>
    <r>
      <t>1)</t>
    </r>
    <r>
      <rPr>
        <sz val="8"/>
        <color indexed="8"/>
        <rFont val="Arial"/>
        <family val="2"/>
      </rPr>
      <t xml:space="preserve"> Ai sensi dell’art. 4 D. L.vo 196/03 lett. a) si intende per “trattamento” dei dati qualunque operazione o complesso di operazioni, effettuati anche senza l’ausilio di strumenti elettronici, concernenti :</t>
    </r>
  </si>
  <si>
    <r>
      <t>2)</t>
    </r>
    <r>
      <rPr>
        <sz val="8"/>
        <color indexed="8"/>
        <rFont val="Arial"/>
        <family val="2"/>
      </rPr>
      <t xml:space="preserve"> Si </t>
    </r>
    <r>
      <rPr>
        <b/>
        <sz val="8"/>
        <color indexed="8"/>
        <rFont val="Arial"/>
        <family val="2"/>
      </rPr>
      <t>Informa</t>
    </r>
    <r>
      <rPr>
        <sz val="8"/>
        <color indexed="8"/>
        <rFont val="Arial"/>
        <family val="2"/>
      </rPr>
      <t xml:space="preserve"> che il trattamento dei dati personali, anche a mezzo di gestione di banca-dati, è effettuato dalla S.I.A.E. in assolvimento agli obblighi di legge previsti dall’art. 71 septies L. 633/41 e dal D. M. 30.12.2009. Alla luce delle richiamate disposizioni normative la S.I.A.E. richiede e riscuote il compenso per copia privata per conto degli aventi diritto determinati dal legislatore.</t>
    </r>
  </si>
  <si>
    <r>
      <t xml:space="preserve">3) </t>
    </r>
    <r>
      <rPr>
        <sz val="8"/>
        <color indexed="8"/>
        <rFont val="Arial"/>
        <family val="2"/>
      </rPr>
      <t>Si I</t>
    </r>
    <r>
      <rPr>
        <b/>
        <sz val="8"/>
        <color indexed="8"/>
        <rFont val="Arial"/>
        <family val="2"/>
      </rPr>
      <t>nforma</t>
    </r>
    <r>
      <rPr>
        <sz val="8"/>
        <color indexed="8"/>
        <rFont val="Arial"/>
        <family val="2"/>
      </rPr>
      <t xml:space="preserve"> che, tenuto conto delle finalità del trattamento, come sopra illustrato, il conferimento dei dati è obbligatorio. Il mancato conferimento non consentirebbe alla S.I.A.E. di assolvere correttamente agli obblighi di legge su di essa incombenti.</t>
    </r>
  </si>
  <si>
    <r>
      <t xml:space="preserve">4) </t>
    </r>
    <r>
      <rPr>
        <sz val="8"/>
        <color indexed="8"/>
        <rFont val="Arial"/>
        <family val="2"/>
      </rPr>
      <t xml:space="preserve">Si </t>
    </r>
    <r>
      <rPr>
        <b/>
        <sz val="8"/>
        <color indexed="8"/>
        <rFont val="Arial"/>
        <family val="2"/>
      </rPr>
      <t xml:space="preserve">Informa </t>
    </r>
    <r>
      <rPr>
        <sz val="8"/>
        <color indexed="8"/>
        <rFont val="Arial"/>
        <family val="2"/>
      </rPr>
      <t>che i dati in questione saranno trattati:</t>
    </r>
  </si>
  <si>
    <r>
      <t xml:space="preserve">6) </t>
    </r>
    <r>
      <rPr>
        <sz val="8"/>
        <color indexed="8"/>
        <rFont val="Arial"/>
        <family val="2"/>
      </rPr>
      <t>La legge Le riconosce la titolarità dei diritti di cui all’art. 7 del D. L.vo 196/03.</t>
    </r>
  </si>
  <si>
    <r>
      <t xml:space="preserve">7) </t>
    </r>
    <r>
      <rPr>
        <sz val="8"/>
        <color indexed="8"/>
        <rFont val="Arial"/>
        <family val="2"/>
      </rPr>
      <t>Ai sensi dell’art. 10 n. 7 del D. L.vo 196/03 quando, a seguito della richiesta di cui all’art. 7, commi 1 e 2 lettere a),b) e c), non risulta confermata l’esistenza di dati che riguardano l’interessato, può essere chiesto un contributo spese non eccedente i costi effettivamente sopportati per la ricerca effettuata nel caso specifico.</t>
    </r>
  </si>
  <si>
    <t>da &gt;250 Gb fino a &lt;400 Gb</t>
  </si>
  <si>
    <t>400 Gb e oltre (fino al 13/1/12)
da 400 Gb fino a &lt;700 Gb (dal 14/1/12)</t>
  </si>
  <si>
    <t>da &gt;15 Gb fino a &lt;20 Gb</t>
  </si>
  <si>
    <t>20 Gb e oltre (fino al 13/1/12)
da 20 Gb fino a &lt;40 Gb (dal 14/1/12)</t>
  </si>
  <si>
    <r>
      <t xml:space="preserve">da 700 Gb e oltre (dal 14/1/12) </t>
    </r>
    <r>
      <rPr>
        <b/>
        <sz val="10"/>
        <rFont val="Calibri"/>
        <family val="2"/>
      </rPr>
      <t>INSERIRE CAPACITA' (in Gb) QUI →</t>
    </r>
  </si>
  <si>
    <t>400 Gb e oltre (fino al 13/1/12)
da 400 Gb fino a &lt;1000 Gb (dal 14/1/12)</t>
  </si>
  <si>
    <t>Gb</t>
  </si>
  <si>
    <t>da 700 GB fino a &lt;900 Gb (dal 14/1/12)</t>
  </si>
  <si>
    <t>da 900 GB fino a &lt;1100 Gb (dal 14/1/12)</t>
  </si>
  <si>
    <t>da 1100 GB fino a &lt;1300 Gb (dal 14/1/12)</t>
  </si>
  <si>
    <t>da 1300 GB fino a &lt;1500 Gb (dal 14/1/12)</t>
  </si>
  <si>
    <t>da 1500 GB fino a &lt;1700 Gb (dal 14/1/12)</t>
  </si>
  <si>
    <t>da 1700 GB fino a &lt;1900 Gb (dal 14/1/12)</t>
  </si>
  <si>
    <t>da 1900 GB fino a &lt;2100 Gb (dal 14/1/12)</t>
  </si>
  <si>
    <t>da 1000 Gb fino a &lt;1500 Gb (dal 14/1/12)</t>
  </si>
  <si>
    <t>da 1500 Gb fino a &lt;2000 Gb (dal 14/1/12)</t>
  </si>
  <si>
    <t>da 2000 Gb fino a &lt;2500 Gb (dal 14/1/12)</t>
  </si>
  <si>
    <t>da 2500 Gb fino a &lt;3000 Gb (dal 14/1/12)</t>
  </si>
  <si>
    <t>da 2100 GB fino a &lt;2300 Gb (dal 14/1/12)</t>
  </si>
  <si>
    <t>da 2300 GB fino a &lt;2500 Gb (dal 14/1/12)</t>
  </si>
  <si>
    <t>da 2500 GB fino a &lt;2700 Gb (dal 14/1/12)</t>
  </si>
  <si>
    <t>da 2700 GB fino a &lt;2900 Gb (dal 14/1/12)</t>
  </si>
  <si>
    <t>da 2900 GB fino a &lt;3100 Gb (dal 14/1/12)</t>
  </si>
  <si>
    <t>q) HARD DISK ESTERNI 64 Gb</t>
  </si>
  <si>
    <t>q) HARD DISK ESTERNI 128 Gb</t>
  </si>
  <si>
    <t>q) HARD DISK ESTERNI 256 Gb</t>
  </si>
  <si>
    <t>q) HARD DISK ESTERNI 750 Gb</t>
  </si>
  <si>
    <r>
      <t xml:space="preserve">da 700 Gb fino a &lt;2100 Gb (dal 14/1/12) </t>
    </r>
    <r>
      <rPr>
        <b/>
        <u val="single"/>
        <sz val="9"/>
        <rFont val="Calibri"/>
        <family val="2"/>
      </rPr>
      <t xml:space="preserve">INSERIRE CAPACITA' (in Gb) QUI </t>
    </r>
    <r>
      <rPr>
        <b/>
        <u val="single"/>
        <sz val="9"/>
        <rFont val="Calibri"/>
        <family val="2"/>
      </rPr>
      <t>→</t>
    </r>
  </si>
  <si>
    <r>
      <t xml:space="preserve">da 40 Gb fino a &lt;110 Gb (dal 14/1/12) </t>
    </r>
    <r>
      <rPr>
        <b/>
        <sz val="10"/>
        <rFont val="Calibri"/>
        <family val="2"/>
      </rPr>
      <t>INSERIRE CAPACITA' (in Gb) QUI →</t>
    </r>
  </si>
  <si>
    <r>
      <t xml:space="preserve">da 110 Gb fino a &lt;180 Gb (dal 14/1/12) </t>
    </r>
    <r>
      <rPr>
        <b/>
        <sz val="10"/>
        <rFont val="Calibri"/>
        <family val="2"/>
      </rPr>
      <t>INSERIRE CAPACITA' (in Gb) QUI →</t>
    </r>
  </si>
  <si>
    <r>
      <t xml:space="preserve">da 180 Gb fino a &lt;250 Gb (dal 14/1/12) </t>
    </r>
    <r>
      <rPr>
        <b/>
        <sz val="10"/>
        <rFont val="Calibri"/>
        <family val="2"/>
      </rPr>
      <t>INSERIRE CAPACITA' (in Gb) QUI →</t>
    </r>
  </si>
  <si>
    <r>
      <t xml:space="preserve">da 2100 Gb fino a &lt;3500 Gb (dal 14/1/12) </t>
    </r>
    <r>
      <rPr>
        <b/>
        <u val="single"/>
        <sz val="9"/>
        <rFont val="Calibri"/>
        <family val="2"/>
      </rPr>
      <t xml:space="preserve">INSERIRE CAPACITA' (in Gb) QUI </t>
    </r>
    <r>
      <rPr>
        <b/>
        <u val="single"/>
        <sz val="9"/>
        <rFont val="Calibri"/>
        <family val="2"/>
      </rPr>
      <t>→</t>
    </r>
  </si>
  <si>
    <r>
      <t xml:space="preserve">da 3100 Gb fino a &lt;4500 Gb (dal 14/1/12) </t>
    </r>
    <r>
      <rPr>
        <b/>
        <sz val="10"/>
        <rFont val="Calibri"/>
        <family val="2"/>
      </rPr>
      <t>INSERIRE CAPACITA' (in Gb) QUI →</t>
    </r>
  </si>
  <si>
    <r>
      <t xml:space="preserve">da 2100 Gb fino a &lt;3500 Gb (dal 14/1/12) </t>
    </r>
    <r>
      <rPr>
        <b/>
        <sz val="10"/>
        <rFont val="Calibri"/>
        <family val="2"/>
      </rPr>
      <t>INSERIRE CAPACITA' (in Gb) QUI →</t>
    </r>
  </si>
  <si>
    <r>
      <t xml:space="preserve">da 3000 Gb fino a &lt;6500 Gb (dal 14/1/12) </t>
    </r>
    <r>
      <rPr>
        <b/>
        <sz val="10"/>
        <rFont val="Calibri"/>
        <family val="2"/>
      </rPr>
      <t>INSERIRE CAPACITA' (in Gb) QUI →</t>
    </r>
  </si>
  <si>
    <t>o) MEMORIE TRASFERIBILI Altre capacità</t>
  </si>
  <si>
    <t>p) USB STICK Altre capacità</t>
  </si>
  <si>
    <t>q) HARD DISK ESTERNI 1500 Gb</t>
  </si>
  <si>
    <t>q) HARD DISK ESTERNI 2000 Gb</t>
  </si>
  <si>
    <t>q) HARD DISK ESTERNI 2500 Gb</t>
  </si>
  <si>
    <t>q) HARD DISK ESTERNI 3000 Gb</t>
  </si>
  <si>
    <t>q) HARD DISK ESTERNI Altre capacità</t>
  </si>
  <si>
    <t>Televisori dotati di funzione registrazione aventi prezzo imponibile unitario inferiore a € 429,00 (vedi nota)</t>
  </si>
  <si>
    <t>Televisori dotati di funzione registrazione aventi prezzo imponibile unitario superiore a € 429,00 (vedi nota)</t>
  </si>
  <si>
    <r>
      <t xml:space="preserve">5) </t>
    </r>
    <r>
      <rPr>
        <sz val="8"/>
        <color indexed="8"/>
        <rFont val="Arial"/>
        <family val="2"/>
      </rPr>
      <t>Il Titolare del trattamento dati è la S.I.A.E. con sede legale in Roma, Viale della Letteratura 30; Responsabile del trattamento dati è l’avv. Alessandra Amendola, domiciliata c/o SIAE, Viale della Letteratura 30, Roma</t>
    </r>
  </si>
  <si>
    <r>
      <rPr>
        <b/>
        <sz val="11"/>
        <color indexed="8"/>
        <rFont val="Calibri"/>
        <family val="2"/>
      </rPr>
      <t>NOTA</t>
    </r>
    <r>
      <rPr>
        <sz val="11"/>
        <color theme="1"/>
        <rFont val="Calibri"/>
        <family val="2"/>
      </rPr>
      <t xml:space="preserve">: Le categorie </t>
    </r>
    <r>
      <rPr>
        <b/>
        <sz val="11"/>
        <color indexed="10"/>
        <rFont val="Calibri"/>
        <family val="2"/>
      </rPr>
      <t>2EA01</t>
    </r>
    <r>
      <rPr>
        <sz val="11"/>
        <color theme="1"/>
        <rFont val="Calibri"/>
        <family val="2"/>
      </rPr>
      <t xml:space="preserve"> e </t>
    </r>
    <r>
      <rPr>
        <b/>
        <sz val="11"/>
        <color indexed="10"/>
        <rFont val="Calibri"/>
        <family val="2"/>
      </rPr>
      <t>2EA02</t>
    </r>
    <r>
      <rPr>
        <sz val="11"/>
        <color theme="1"/>
        <rFont val="Calibri"/>
        <family val="2"/>
      </rPr>
      <t xml:space="preserve"> sono riservate agli apparecchi televisivi dotati di funzioni di registrazione senza una memoria o hard-disk incorporato (ad es. registrazione su supporto di memorizzazione esterno collegabile attraverso USB). Per questi deve essere indicato il numero di unità in liquidazione e l'imponibile complessivo sul quale si calcola il compenso ottenuto applicando l'abbattimento del 30% previsto per gli apparecchi polifunzionali video con 2 funzioni (punto 2.4 Criteri applicativi dall'accordo tra SIAE e Associazioni di categoria del novembre 2003 con successive modifiche del 2010). Gli apparecchi con prezzo imponibile unitario superire a € 429,00 IVA esclusa, devono essere inseriti nella categoria 2EA01. </t>
    </r>
    <r>
      <rPr>
        <b/>
        <sz val="11"/>
        <color indexed="8"/>
        <rFont val="Calibri"/>
        <family val="2"/>
      </rPr>
      <t>Per ulteriori info sulla compilazione vedi foglio "Istruzioni compilazione nuovo Tracciato NEW 2013" disponibile sul sito www.siae.it &gt; Copia Privata &gt; Termini e modalità di pagamento</t>
    </r>
    <r>
      <rPr>
        <sz val="11"/>
        <color theme="1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</si>
</sst>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00"/>
    <numFmt numFmtId="166" formatCode="&quot;€&quot;\ #,##0.00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_-[$€-410]\ * #,##0.00_-;\-[$€-410]\ * #,##0.00_-;_-[$€-410]\ 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b/>
      <u val="single"/>
      <sz val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6">
    <xf numFmtId="0" fontId="0" fillId="0" borderId="0" xfId="0" applyFont="1" applyAlignment="1">
      <alignment/>
    </xf>
    <xf numFmtId="0" fontId="29" fillId="0" borderId="10" xfId="0" applyFont="1" applyBorder="1" applyAlignment="1" applyProtection="1">
      <alignment/>
      <protection locked="0"/>
    </xf>
    <xf numFmtId="0" fontId="29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0" fillId="0" borderId="13" xfId="48" applyFont="1" applyBorder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0" fillId="0" borderId="14" xfId="48" applyFont="1" applyBorder="1" applyProtection="1">
      <alignment/>
      <protection locked="0"/>
    </xf>
    <xf numFmtId="0" fontId="31" fillId="0" borderId="13" xfId="48" applyFont="1" applyBorder="1" applyProtection="1">
      <alignment/>
      <protection hidden="1"/>
    </xf>
    <xf numFmtId="0" fontId="31" fillId="0" borderId="13" xfId="48" applyFont="1" applyBorder="1" applyAlignment="1" applyProtection="1">
      <alignment horizontal="center" vertical="center"/>
      <protection hidden="1"/>
    </xf>
    <xf numFmtId="0" fontId="31" fillId="0" borderId="13" xfId="48" applyFont="1" applyBorder="1" applyAlignment="1" applyProtection="1">
      <alignment horizontal="center" vertical="center" wrapText="1"/>
      <protection hidden="1"/>
    </xf>
    <xf numFmtId="2" fontId="31" fillId="0" borderId="13" xfId="48" applyNumberFormat="1" applyFont="1" applyBorder="1" applyAlignment="1" applyProtection="1">
      <alignment horizontal="center" vertical="center" wrapText="1"/>
      <protection hidden="1"/>
    </xf>
    <xf numFmtId="0" fontId="31" fillId="0" borderId="13" xfId="48" applyFont="1" applyBorder="1" applyAlignment="1" applyProtection="1">
      <alignment horizontal="center"/>
      <protection hidden="1"/>
    </xf>
    <xf numFmtId="0" fontId="30" fillId="0" borderId="13" xfId="48" applyFont="1" applyBorder="1" applyProtection="1">
      <alignment/>
      <protection hidden="1"/>
    </xf>
    <xf numFmtId="2" fontId="30" fillId="0" borderId="13" xfId="48" applyNumberFormat="1" applyFont="1" applyBorder="1" applyProtection="1">
      <alignment/>
      <protection hidden="1"/>
    </xf>
    <xf numFmtId="0" fontId="31" fillId="33" borderId="13" xfId="48" applyFont="1" applyFill="1" applyBorder="1" applyAlignment="1" applyProtection="1">
      <alignment horizontal="center"/>
      <protection hidden="1"/>
    </xf>
    <xf numFmtId="0" fontId="30" fillId="33" borderId="13" xfId="48" applyFont="1" applyFill="1" applyBorder="1" applyProtection="1">
      <alignment/>
      <protection hidden="1"/>
    </xf>
    <xf numFmtId="2" fontId="30" fillId="0" borderId="14" xfId="48" applyNumberFormat="1" applyFont="1" applyBorder="1" applyProtection="1">
      <alignment/>
      <protection hidden="1"/>
    </xf>
    <xf numFmtId="2" fontId="31" fillId="0" borderId="13" xfId="48" applyNumberFormat="1" applyFont="1" applyBorder="1" applyProtection="1">
      <alignment/>
      <protection hidden="1"/>
    </xf>
    <xf numFmtId="0" fontId="52" fillId="0" borderId="13" xfId="0" applyFont="1" applyBorder="1" applyAlignment="1" applyProtection="1">
      <alignment horizontal="center"/>
      <protection hidden="1"/>
    </xf>
    <xf numFmtId="0" fontId="52" fillId="0" borderId="13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2" fillId="33" borderId="15" xfId="0" applyFont="1" applyFill="1" applyBorder="1" applyAlignment="1" applyProtection="1">
      <alignment horizontal="center" vertical="center"/>
      <protection hidden="1"/>
    </xf>
    <xf numFmtId="0" fontId="52" fillId="33" borderId="16" xfId="0" applyFont="1" applyFill="1" applyBorder="1" applyAlignment="1" applyProtection="1">
      <alignment horizontal="center"/>
      <protection hidden="1"/>
    </xf>
    <xf numFmtId="0" fontId="52" fillId="0" borderId="0" xfId="0" applyFont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164" fontId="52" fillId="0" borderId="13" xfId="0" applyNumberFormat="1" applyFont="1" applyBorder="1" applyAlignment="1" applyProtection="1">
      <alignment/>
      <protection hidden="1"/>
    </xf>
    <xf numFmtId="0" fontId="52" fillId="0" borderId="17" xfId="0" applyFont="1" applyBorder="1" applyAlignment="1" applyProtection="1">
      <alignment horizontal="center"/>
      <protection hidden="1"/>
    </xf>
    <xf numFmtId="0" fontId="52" fillId="0" borderId="13" xfId="0" applyFont="1" applyBorder="1" applyAlignment="1" applyProtection="1">
      <alignment horizontal="center" vertical="center" wrapText="1"/>
      <protection hidden="1"/>
    </xf>
    <xf numFmtId="164" fontId="52" fillId="0" borderId="18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164" fontId="0" fillId="0" borderId="13" xfId="0" applyNumberFormat="1" applyBorder="1" applyAlignment="1" applyProtection="1">
      <alignment/>
      <protection hidden="1"/>
    </xf>
    <xf numFmtId="164" fontId="0" fillId="0" borderId="13" xfId="0" applyNumberFormat="1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164" fontId="7" fillId="0" borderId="12" xfId="0" applyNumberFormat="1" applyFont="1" applyBorder="1" applyAlignment="1" applyProtection="1">
      <alignment/>
      <protection hidden="1"/>
    </xf>
    <xf numFmtId="164" fontId="7" fillId="0" borderId="13" xfId="0" applyNumberFormat="1" applyFont="1" applyBorder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52" fillId="0" borderId="13" xfId="0" applyNumberFormat="1" applyFont="1" applyBorder="1" applyAlignment="1" applyProtection="1">
      <alignment horizontal="center"/>
      <protection hidden="1"/>
    </xf>
    <xf numFmtId="0" fontId="52" fillId="0" borderId="19" xfId="0" applyFont="1" applyBorder="1" applyAlignment="1" applyProtection="1">
      <alignment/>
      <protection hidden="1"/>
    </xf>
    <xf numFmtId="8" fontId="56" fillId="0" borderId="10" xfId="0" applyNumberFormat="1" applyFont="1" applyBorder="1" applyAlignment="1" applyProtection="1">
      <alignment/>
      <protection hidden="1"/>
    </xf>
    <xf numFmtId="164" fontId="52" fillId="0" borderId="20" xfId="0" applyNumberFormat="1" applyFont="1" applyBorder="1" applyAlignment="1" applyProtection="1">
      <alignment/>
      <protection hidden="1"/>
    </xf>
    <xf numFmtId="0" fontId="52" fillId="0" borderId="13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/>
      <protection hidden="1"/>
    </xf>
    <xf numFmtId="8" fontId="57" fillId="0" borderId="13" xfId="0" applyNumberFormat="1" applyFont="1" applyBorder="1" applyAlignment="1" applyProtection="1">
      <alignment horizontal="center"/>
      <protection hidden="1"/>
    </xf>
    <xf numFmtId="8" fontId="0" fillId="0" borderId="13" xfId="0" applyNumberFormat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8" fontId="0" fillId="0" borderId="0" xfId="0" applyNumberFormat="1" applyBorder="1" applyAlignment="1" applyProtection="1">
      <alignment/>
      <protection hidden="1"/>
    </xf>
    <xf numFmtId="8" fontId="0" fillId="0" borderId="14" xfId="0" applyNumberFormat="1" applyBorder="1" applyAlignment="1" applyProtection="1">
      <alignment/>
      <protection hidden="1"/>
    </xf>
    <xf numFmtId="8" fontId="57" fillId="0" borderId="13" xfId="0" applyNumberFormat="1" applyFont="1" applyBorder="1" applyAlignment="1" applyProtection="1">
      <alignment horizontal="justify"/>
      <protection hidden="1"/>
    </xf>
    <xf numFmtId="0" fontId="0" fillId="0" borderId="0" xfId="0" applyAlignment="1" applyProtection="1">
      <alignment horizontal="center"/>
      <protection hidden="1"/>
    </xf>
    <xf numFmtId="0" fontId="56" fillId="0" borderId="10" xfId="0" applyFont="1" applyBorder="1" applyAlignment="1" applyProtection="1">
      <alignment/>
      <protection hidden="1"/>
    </xf>
    <xf numFmtId="8" fontId="56" fillId="0" borderId="10" xfId="0" applyNumberFormat="1" applyFont="1" applyBorder="1" applyAlignment="1" applyProtection="1">
      <alignment horizontal="center"/>
      <protection hidden="1"/>
    </xf>
    <xf numFmtId="0" fontId="52" fillId="0" borderId="0" xfId="0" applyFont="1" applyBorder="1" applyAlignment="1" applyProtection="1">
      <alignment horizontal="center"/>
      <protection hidden="1"/>
    </xf>
    <xf numFmtId="8" fontId="57" fillId="0" borderId="13" xfId="0" applyNumberFormat="1" applyFont="1" applyBorder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left"/>
      <protection hidden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9" fontId="52" fillId="0" borderId="13" xfId="0" applyNumberFormat="1" applyFont="1" applyBorder="1" applyAlignment="1" applyProtection="1">
      <alignment/>
      <protection hidden="1" locked="0"/>
    </xf>
    <xf numFmtId="49" fontId="52" fillId="0" borderId="20" xfId="0" applyNumberFormat="1" applyFont="1" applyBorder="1" applyAlignment="1" applyProtection="1">
      <alignment/>
      <protection hidden="1" locked="0"/>
    </xf>
    <xf numFmtId="0" fontId="31" fillId="0" borderId="13" xfId="48" applyFont="1" applyBorder="1" applyAlignment="1" applyProtection="1">
      <alignment horizontal="left"/>
      <protection hidden="1"/>
    </xf>
    <xf numFmtId="0" fontId="31" fillId="0" borderId="13" xfId="48" applyFont="1" applyBorder="1" applyAlignment="1" applyProtection="1">
      <alignment/>
      <protection hidden="1"/>
    </xf>
    <xf numFmtId="0" fontId="31" fillId="0" borderId="13" xfId="48" applyFont="1" applyBorder="1" applyAlignment="1" applyProtection="1">
      <alignment/>
      <protection hidden="1" locked="0"/>
    </xf>
    <xf numFmtId="0" fontId="8" fillId="0" borderId="13" xfId="48" applyFont="1" applyBorder="1" applyAlignment="1" applyProtection="1">
      <alignment horizontal="left"/>
      <protection hidden="1" locked="0"/>
    </xf>
    <xf numFmtId="49" fontId="31" fillId="0" borderId="13" xfId="48" applyNumberFormat="1" applyFont="1" applyBorder="1" applyAlignment="1" applyProtection="1">
      <alignment horizontal="left"/>
      <protection hidden="1" locked="0"/>
    </xf>
    <xf numFmtId="49" fontId="31" fillId="0" borderId="13" xfId="48" applyNumberFormat="1" applyFont="1" applyBorder="1" applyAlignment="1" applyProtection="1">
      <alignment/>
      <protection hidden="1" locked="0"/>
    </xf>
    <xf numFmtId="0" fontId="52" fillId="0" borderId="13" xfId="0" applyFont="1" applyBorder="1" applyAlignment="1" applyProtection="1">
      <alignment/>
      <protection hidden="1" locked="0"/>
    </xf>
    <xf numFmtId="0" fontId="52" fillId="0" borderId="13" xfId="0" applyFont="1" applyBorder="1" applyAlignment="1" applyProtection="1">
      <alignment horizontal="center" vertical="center"/>
      <protection hidden="1"/>
    </xf>
    <xf numFmtId="49" fontId="52" fillId="0" borderId="20" xfId="0" applyNumberFormat="1" applyFont="1" applyBorder="1" applyAlignment="1" applyProtection="1">
      <alignment/>
      <protection hidden="1" locked="0"/>
    </xf>
    <xf numFmtId="0" fontId="0" fillId="0" borderId="12" xfId="0" applyBorder="1" applyAlignment="1" applyProtection="1">
      <alignment wrapText="1"/>
      <protection hidden="1"/>
    </xf>
    <xf numFmtId="0" fontId="29" fillId="0" borderId="13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 horizontal="center"/>
      <protection locked="0"/>
    </xf>
    <xf numFmtId="8" fontId="7" fillId="0" borderId="13" xfId="0" applyNumberFormat="1" applyFont="1" applyBorder="1" applyAlignment="1" applyProtection="1">
      <alignment horizontal="center"/>
      <protection hidden="1"/>
    </xf>
    <xf numFmtId="8" fontId="7" fillId="0" borderId="13" xfId="0" applyNumberFormat="1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 horizontal="center"/>
      <protection locked="0"/>
    </xf>
    <xf numFmtId="8" fontId="7" fillId="0" borderId="14" xfId="0" applyNumberFormat="1" applyFont="1" applyBorder="1" applyAlignment="1" applyProtection="1">
      <alignment horizontal="center"/>
      <protection hidden="1"/>
    </xf>
    <xf numFmtId="8" fontId="7" fillId="0" borderId="14" xfId="0" applyNumberFormat="1" applyFont="1" applyBorder="1" applyAlignment="1" applyProtection="1">
      <alignment/>
      <protection hidden="1"/>
    </xf>
    <xf numFmtId="8" fontId="57" fillId="0" borderId="13" xfId="0" applyNumberFormat="1" applyFont="1" applyBorder="1" applyAlignment="1" applyProtection="1">
      <alignment horizontal="center" vertical="center"/>
      <protection hidden="1"/>
    </xf>
    <xf numFmtId="8" fontId="0" fillId="0" borderId="13" xfId="0" applyNumberFormat="1" applyBorder="1" applyAlignment="1" applyProtection="1">
      <alignment vertical="center"/>
      <protection hidden="1"/>
    </xf>
    <xf numFmtId="8" fontId="57" fillId="0" borderId="14" xfId="0" applyNumberFormat="1" applyFont="1" applyBorder="1" applyAlignment="1" applyProtection="1">
      <alignment horizontal="center" vertical="center"/>
      <protection hidden="1"/>
    </xf>
    <xf numFmtId="8" fontId="0" fillId="0" borderId="14" xfId="0" applyNumberFormat="1" applyBorder="1" applyAlignment="1" applyProtection="1">
      <alignment vertical="center"/>
      <protection hidden="1"/>
    </xf>
    <xf numFmtId="2" fontId="30" fillId="0" borderId="13" xfId="48" applyNumberFormat="1" applyFont="1" applyBorder="1" applyProtection="1">
      <alignment/>
      <protection locked="0"/>
    </xf>
    <xf numFmtId="0" fontId="52" fillId="0" borderId="13" xfId="0" applyFont="1" applyBorder="1" applyAlignment="1" applyProtection="1">
      <alignment/>
      <protection hidden="1"/>
    </xf>
    <xf numFmtId="0" fontId="52" fillId="0" borderId="18" xfId="0" applyFont="1" applyBorder="1" applyAlignment="1" applyProtection="1">
      <alignment horizontal="center"/>
      <protection hidden="1"/>
    </xf>
    <xf numFmtId="0" fontId="52" fillId="0" borderId="0" xfId="0" applyFont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164" fontId="0" fillId="0" borderId="18" xfId="0" applyNumberFormat="1" applyBorder="1" applyAlignment="1" applyProtection="1">
      <alignment/>
      <protection hidden="1"/>
    </xf>
    <xf numFmtId="164" fontId="0" fillId="0" borderId="18" xfId="0" applyNumberFormat="1" applyFont="1" applyBorder="1" applyAlignment="1" applyProtection="1">
      <alignment/>
      <protection hidden="1"/>
    </xf>
    <xf numFmtId="0" fontId="0" fillId="0" borderId="17" xfId="0" applyBorder="1" applyAlignment="1" applyProtection="1">
      <alignment horizontal="left" wrapText="1"/>
      <protection hidden="1"/>
    </xf>
    <xf numFmtId="0" fontId="0" fillId="0" borderId="17" xfId="0" applyBorder="1" applyAlignment="1" applyProtection="1">
      <alignment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34" borderId="13" xfId="0" applyFill="1" applyBorder="1" applyAlignment="1" applyProtection="1">
      <alignment/>
      <protection hidden="1"/>
    </xf>
    <xf numFmtId="164" fontId="0" fillId="35" borderId="16" xfId="0" applyNumberFormat="1" applyFill="1" applyBorder="1" applyAlignment="1" applyProtection="1">
      <alignment/>
      <protection hidden="1"/>
    </xf>
    <xf numFmtId="164" fontId="0" fillId="0" borderId="13" xfId="0" applyNumberFormat="1" applyBorder="1" applyAlignment="1">
      <alignment/>
    </xf>
    <xf numFmtId="0" fontId="0" fillId="0" borderId="12" xfId="0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0" fontId="29" fillId="36" borderId="24" xfId="0" applyFont="1" applyFill="1" applyBorder="1" applyAlignment="1" applyProtection="1">
      <alignment horizontal="center"/>
      <protection hidden="1" locked="0"/>
    </xf>
    <xf numFmtId="0" fontId="29" fillId="0" borderId="24" xfId="0" applyFont="1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wrapText="1"/>
      <protection hidden="1"/>
    </xf>
    <xf numFmtId="0" fontId="29" fillId="0" borderId="10" xfId="0" applyFont="1" applyBorder="1" applyAlignment="1" applyProtection="1">
      <alignment horizontal="center"/>
      <protection hidden="1" locked="0"/>
    </xf>
    <xf numFmtId="0" fontId="29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8" fontId="57" fillId="0" borderId="0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wrapText="1"/>
      <protection hidden="1"/>
    </xf>
    <xf numFmtId="0" fontId="0" fillId="0" borderId="12" xfId="0" applyBorder="1" applyAlignment="1" applyProtection="1">
      <alignment vertical="center"/>
      <protection locked="0"/>
    </xf>
    <xf numFmtId="8" fontId="57" fillId="0" borderId="13" xfId="0" applyNumberFormat="1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/>
      <protection hidden="1"/>
    </xf>
    <xf numFmtId="0" fontId="59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9" fillId="0" borderId="0" xfId="0" applyFont="1" applyAlignment="1">
      <alignment horizontal="center"/>
    </xf>
    <xf numFmtId="0" fontId="58" fillId="0" borderId="0" xfId="0" applyFont="1" applyAlignment="1">
      <alignment/>
    </xf>
    <xf numFmtId="0" fontId="60" fillId="0" borderId="0" xfId="0" applyFont="1" applyAlignment="1">
      <alignment horizontal="left" wrapText="1"/>
    </xf>
    <xf numFmtId="0" fontId="58" fillId="0" borderId="0" xfId="0" applyFont="1" applyAlignment="1">
      <alignment horizontal="left" wrapText="1"/>
    </xf>
    <xf numFmtId="0" fontId="60" fillId="0" borderId="0" xfId="0" applyFont="1" applyAlignment="1">
      <alignment horizontal="justify" wrapText="1"/>
    </xf>
    <xf numFmtId="0" fontId="59" fillId="0" borderId="0" xfId="0" applyFont="1" applyAlignment="1">
      <alignment horizontal="justify" wrapText="1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left" wrapText="1"/>
    </xf>
    <xf numFmtId="0" fontId="60" fillId="0" borderId="0" xfId="0" applyFont="1" applyAlignment="1">
      <alignment wrapText="1"/>
    </xf>
    <xf numFmtId="0" fontId="5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9" fillId="0" borderId="0" xfId="0" applyFont="1" applyAlignment="1">
      <alignment horizontal="justify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31" fillId="0" borderId="13" xfId="48" applyFont="1" applyBorder="1" applyAlignment="1" applyProtection="1">
      <alignment horizontal="left"/>
      <protection hidden="1" locked="0"/>
    </xf>
    <xf numFmtId="0" fontId="36" fillId="0" borderId="13" xfId="48" applyFont="1" applyBorder="1" applyAlignment="1" applyProtection="1">
      <alignment horizontal="left"/>
      <protection hidden="1" locked="0"/>
    </xf>
    <xf numFmtId="0" fontId="34" fillId="37" borderId="16" xfId="48" applyFont="1" applyFill="1" applyBorder="1" applyAlignment="1" applyProtection="1">
      <alignment horizontal="center"/>
      <protection hidden="1"/>
    </xf>
    <xf numFmtId="0" fontId="34" fillId="37" borderId="21" xfId="48" applyFont="1" applyFill="1" applyBorder="1" applyAlignment="1" applyProtection="1">
      <alignment horizontal="center"/>
      <protection hidden="1"/>
    </xf>
    <xf numFmtId="0" fontId="34" fillId="37" borderId="22" xfId="48" applyFont="1" applyFill="1" applyBorder="1" applyAlignment="1" applyProtection="1">
      <alignment horizontal="center"/>
      <protection hidden="1"/>
    </xf>
    <xf numFmtId="0" fontId="34" fillId="37" borderId="15" xfId="48" applyFont="1" applyFill="1" applyBorder="1" applyAlignment="1" applyProtection="1">
      <alignment horizontal="center"/>
      <protection hidden="1"/>
    </xf>
    <xf numFmtId="0" fontId="34" fillId="37" borderId="23" xfId="48" applyFont="1" applyFill="1" applyBorder="1" applyAlignment="1" applyProtection="1">
      <alignment horizontal="center"/>
      <protection hidden="1"/>
    </xf>
    <xf numFmtId="0" fontId="34" fillId="37" borderId="25" xfId="48" applyFont="1" applyFill="1" applyBorder="1" applyAlignment="1" applyProtection="1">
      <alignment horizontal="center"/>
      <protection hidden="1"/>
    </xf>
    <xf numFmtId="0" fontId="35" fillId="0" borderId="13" xfId="48" applyFont="1" applyBorder="1" applyAlignment="1" applyProtection="1">
      <alignment horizontal="left"/>
      <protection hidden="1"/>
    </xf>
    <xf numFmtId="0" fontId="31" fillId="0" borderId="13" xfId="48" applyFont="1" applyBorder="1" applyAlignment="1" applyProtection="1">
      <alignment horizontal="left"/>
      <protection hidden="1"/>
    </xf>
    <xf numFmtId="0" fontId="36" fillId="0" borderId="13" xfId="48" applyFont="1" applyBorder="1" applyAlignment="1" applyProtection="1">
      <alignment horizontal="left"/>
      <protection hidden="1"/>
    </xf>
    <xf numFmtId="0" fontId="30" fillId="0" borderId="15" xfId="48" applyFont="1" applyBorder="1" applyAlignment="1" applyProtection="1">
      <alignment horizontal="center"/>
      <protection hidden="1"/>
    </xf>
    <xf numFmtId="0" fontId="30" fillId="0" borderId="23" xfId="48" applyFont="1" applyBorder="1" applyAlignment="1" applyProtection="1">
      <alignment horizontal="center"/>
      <protection hidden="1"/>
    </xf>
    <xf numFmtId="0" fontId="30" fillId="0" borderId="26" xfId="48" applyFont="1" applyBorder="1" applyAlignment="1" applyProtection="1">
      <alignment horizontal="center"/>
      <protection hidden="1"/>
    </xf>
    <xf numFmtId="0" fontId="30" fillId="0" borderId="0" xfId="48" applyFont="1" applyBorder="1" applyAlignment="1" applyProtection="1">
      <alignment horizontal="center"/>
      <protection hidden="1"/>
    </xf>
    <xf numFmtId="0" fontId="30" fillId="0" borderId="16" xfId="48" applyFont="1" applyBorder="1" applyAlignment="1" applyProtection="1">
      <alignment horizontal="center"/>
      <protection hidden="1"/>
    </xf>
    <xf numFmtId="0" fontId="30" fillId="0" borderId="21" xfId="48" applyFont="1" applyBorder="1" applyAlignment="1" applyProtection="1">
      <alignment horizontal="center"/>
      <protection hidden="1"/>
    </xf>
    <xf numFmtId="0" fontId="31" fillId="0" borderId="20" xfId="48" applyFont="1" applyBorder="1" applyAlignment="1" applyProtection="1">
      <alignment horizontal="center"/>
      <protection hidden="1"/>
    </xf>
    <xf numFmtId="0" fontId="31" fillId="0" borderId="17" xfId="48" applyFont="1" applyBorder="1" applyAlignment="1" applyProtection="1">
      <alignment horizontal="center"/>
      <protection hidden="1"/>
    </xf>
    <xf numFmtId="0" fontId="31" fillId="0" borderId="12" xfId="48" applyFont="1" applyBorder="1" applyAlignment="1" applyProtection="1">
      <alignment horizontal="center"/>
      <protection hidden="1"/>
    </xf>
    <xf numFmtId="0" fontId="31" fillId="0" borderId="16" xfId="48" applyFont="1" applyBorder="1" applyAlignment="1" applyProtection="1">
      <alignment/>
      <protection hidden="1"/>
    </xf>
    <xf numFmtId="0" fontId="36" fillId="0" borderId="21" xfId="48" applyFont="1" applyBorder="1" applyAlignment="1" applyProtection="1">
      <alignment/>
      <protection hidden="1"/>
    </xf>
    <xf numFmtId="0" fontId="36" fillId="0" borderId="22" xfId="48" applyFont="1" applyBorder="1" applyAlignment="1" applyProtection="1">
      <alignment/>
      <protection hidden="1"/>
    </xf>
    <xf numFmtId="0" fontId="8" fillId="0" borderId="13" xfId="48" applyFont="1" applyBorder="1" applyAlignment="1" applyProtection="1">
      <alignment horizontal="left"/>
      <protection hidden="1" locked="0"/>
    </xf>
    <xf numFmtId="0" fontId="56" fillId="0" borderId="27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52" fillId="0" borderId="20" xfId="0" applyFont="1" applyBorder="1" applyAlignment="1" applyProtection="1">
      <alignment/>
      <protection hidden="1" locked="0"/>
    </xf>
    <xf numFmtId="0" fontId="52" fillId="0" borderId="17" xfId="0" applyFont="1" applyBorder="1" applyAlignment="1" applyProtection="1">
      <alignment/>
      <protection hidden="1" locked="0"/>
    </xf>
    <xf numFmtId="0" fontId="52" fillId="0" borderId="12" xfId="0" applyFont="1" applyBorder="1" applyAlignment="1" applyProtection="1">
      <alignment/>
      <protection hidden="1" locked="0"/>
    </xf>
    <xf numFmtId="0" fontId="52" fillId="0" borderId="16" xfId="0" applyFont="1" applyBorder="1" applyAlignment="1" applyProtection="1">
      <alignment/>
      <protection hidden="1" locked="0"/>
    </xf>
    <xf numFmtId="0" fontId="0" fillId="0" borderId="21" xfId="0" applyBorder="1" applyAlignment="1" applyProtection="1">
      <alignment/>
      <protection hidden="1" locked="0"/>
    </xf>
    <xf numFmtId="0" fontId="0" fillId="0" borderId="30" xfId="0" applyBorder="1" applyAlignment="1" applyProtection="1">
      <alignment/>
      <protection hidden="1" locked="0"/>
    </xf>
    <xf numFmtId="0" fontId="0" fillId="35" borderId="23" xfId="0" applyFill="1" applyBorder="1" applyAlignment="1" applyProtection="1">
      <alignment horizontal="center" vertical="center" wrapText="1"/>
      <protection hidden="1"/>
    </xf>
    <xf numFmtId="0" fontId="0" fillId="35" borderId="25" xfId="0" applyFill="1" applyBorder="1" applyAlignment="1" applyProtection="1">
      <alignment horizontal="center" vertical="center" wrapText="1"/>
      <protection hidden="1"/>
    </xf>
    <xf numFmtId="0" fontId="0" fillId="35" borderId="21" xfId="0" applyFill="1" applyBorder="1" applyAlignment="1" applyProtection="1">
      <alignment horizontal="center" vertical="center" wrapText="1"/>
      <protection hidden="1"/>
    </xf>
    <xf numFmtId="0" fontId="0" fillId="35" borderId="22" xfId="0" applyFill="1" applyBorder="1" applyAlignment="1" applyProtection="1">
      <alignment horizontal="center" vertical="center" wrapText="1"/>
      <protection hidden="1"/>
    </xf>
    <xf numFmtId="0" fontId="52" fillId="0" borderId="17" xfId="0" applyFont="1" applyBorder="1" applyAlignment="1" applyProtection="1">
      <alignment/>
      <protection hidden="1"/>
    </xf>
    <xf numFmtId="49" fontId="52" fillId="0" borderId="20" xfId="0" applyNumberFormat="1" applyFont="1" applyBorder="1" applyAlignment="1" applyProtection="1">
      <alignment/>
      <protection hidden="1" locked="0"/>
    </xf>
    <xf numFmtId="49" fontId="52" fillId="0" borderId="17" xfId="0" applyNumberFormat="1" applyFont="1" applyBorder="1" applyAlignment="1" applyProtection="1">
      <alignment/>
      <protection hidden="1" locked="0"/>
    </xf>
    <xf numFmtId="49" fontId="52" fillId="0" borderId="12" xfId="0" applyNumberFormat="1" applyFont="1" applyBorder="1" applyAlignment="1" applyProtection="1">
      <alignment/>
      <protection hidden="1" locked="0"/>
    </xf>
    <xf numFmtId="0" fontId="52" fillId="0" borderId="22" xfId="0" applyFont="1" applyBorder="1" applyAlignment="1" applyProtection="1">
      <alignment horizontal="center" vertical="center"/>
      <protection hidden="1"/>
    </xf>
    <xf numFmtId="0" fontId="52" fillId="0" borderId="18" xfId="0" applyFont="1" applyBorder="1" applyAlignment="1" applyProtection="1">
      <alignment horizontal="center" vertical="center"/>
      <protection hidden="1"/>
    </xf>
    <xf numFmtId="0" fontId="52" fillId="0" borderId="13" xfId="0" applyFont="1" applyBorder="1" applyAlignment="1" applyProtection="1">
      <alignment horizontal="center" vertical="center"/>
      <protection hidden="1"/>
    </xf>
    <xf numFmtId="0" fontId="52" fillId="0" borderId="12" xfId="0" applyFont="1" applyBorder="1" applyAlignment="1" applyProtection="1">
      <alignment/>
      <protection hidden="1"/>
    </xf>
    <xf numFmtId="0" fontId="52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6" fillId="0" borderId="31" xfId="0" applyFont="1" applyBorder="1" applyAlignment="1" applyProtection="1">
      <alignment/>
      <protection hidden="1"/>
    </xf>
    <xf numFmtId="0" fontId="56" fillId="0" borderId="32" xfId="0" applyFont="1" applyBorder="1" applyAlignment="1" applyProtection="1">
      <alignment/>
      <protection hidden="1"/>
    </xf>
    <xf numFmtId="164" fontId="0" fillId="35" borderId="13" xfId="0" applyNumberFormat="1" applyFill="1" applyBorder="1" applyAlignment="1" applyProtection="1">
      <alignment/>
      <protection hidden="1"/>
    </xf>
    <xf numFmtId="164" fontId="0" fillId="35" borderId="13" xfId="0" applyNumberForma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5" borderId="14" xfId="0" applyNumberFormat="1" applyFill="1" applyBorder="1" applyAlignment="1">
      <alignment/>
    </xf>
    <xf numFmtId="49" fontId="0" fillId="0" borderId="17" xfId="0" applyNumberFormat="1" applyBorder="1" applyAlignment="1" applyProtection="1">
      <alignment/>
      <protection hidden="1" locked="0"/>
    </xf>
    <xf numFmtId="49" fontId="0" fillId="0" borderId="12" xfId="0" applyNumberFormat="1" applyBorder="1" applyAlignment="1" applyProtection="1">
      <alignment/>
      <protection hidden="1" locked="0"/>
    </xf>
    <xf numFmtId="0" fontId="0" fillId="35" borderId="13" xfId="0" applyFill="1" applyBorder="1" applyAlignment="1" applyProtection="1">
      <alignment/>
      <protection hidden="1"/>
    </xf>
    <xf numFmtId="0" fontId="0" fillId="35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2" fillId="0" borderId="20" xfId="0" applyFont="1" applyBorder="1" applyAlignment="1" applyProtection="1">
      <alignment/>
      <protection hidden="1"/>
    </xf>
    <xf numFmtId="0" fontId="0" fillId="0" borderId="12" xfId="0" applyBorder="1" applyAlignment="1">
      <alignment/>
    </xf>
    <xf numFmtId="0" fontId="0" fillId="35" borderId="14" xfId="0" applyFill="1" applyBorder="1" applyAlignment="1" applyProtection="1">
      <alignment/>
      <protection hidden="1"/>
    </xf>
    <xf numFmtId="0" fontId="0" fillId="35" borderId="33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34" xfId="0" applyFill="1" applyBorder="1" applyAlignment="1">
      <alignment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56" fillId="0" borderId="31" xfId="0" applyFont="1" applyBorder="1" applyAlignment="1" applyProtection="1">
      <alignment horizontal="left"/>
      <protection hidden="1"/>
    </xf>
    <xf numFmtId="0" fontId="56" fillId="0" borderId="32" xfId="0" applyFont="1" applyBorder="1" applyAlignment="1" applyProtection="1">
      <alignment horizontal="left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5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 tint="0.4999800026416778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/>
    <dxf>
      <fill>
        <patternFill patternType="none">
          <bgColor indexed="65"/>
        </patternFill>
      </fill>
    </dxf>
    <dxf>
      <fill>
        <patternFill>
          <bgColor theme="0" tint="-0.24993999302387238"/>
        </patternFill>
      </fill>
    </dxf>
    <dxf>
      <fill>
        <patternFill>
          <bgColor theme="1" tint="0.4999800026416778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/>
    <dxf>
      <font>
        <color rgb="FF006100"/>
      </font>
      <fill>
        <patternFill>
          <bgColor rgb="FFC6EFCE"/>
        </patternFill>
      </fill>
    </dxf>
    <dxf>
      <fill>
        <patternFill>
          <bgColor theme="0" tint="-0.24993999302387238"/>
        </patternFill>
      </fill>
    </dxf>
    <dxf>
      <fill>
        <patternFill>
          <bgColor theme="1" tint="0.4999800026416778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/>
    <dxf>
      <fill>
        <patternFill patternType="none">
          <bgColor indexed="65"/>
        </patternFill>
      </fill>
    </dxf>
    <dxf>
      <fill>
        <patternFill>
          <bgColor theme="0" tint="-0.24993999302387238"/>
        </patternFill>
      </fill>
    </dxf>
    <dxf>
      <fill>
        <patternFill>
          <bgColor theme="1" tint="0.4999800026416778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/>
    <dxf>
      <fill>
        <patternFill>
          <bgColor theme="0" tint="-0.24993999302387238"/>
        </patternFill>
      </fill>
    </dxf>
    <dxf>
      <fill>
        <patternFill>
          <bgColor theme="1" tint="0.49998000264167786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t.wikipedia.org/wiki/Mini_DVD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E13" sqref="E13:F13"/>
    </sheetView>
  </sheetViews>
  <sheetFormatPr defaultColWidth="9.140625" defaultRowHeight="15"/>
  <cols>
    <col min="1" max="1" width="9.140625" style="0" customWidth="1"/>
  </cols>
  <sheetData>
    <row r="1" spans="1:12" ht="15">
      <c r="A1" s="141" t="s">
        <v>182</v>
      </c>
      <c r="B1" s="142"/>
      <c r="C1" s="142"/>
      <c r="D1" s="142"/>
      <c r="E1" s="142"/>
      <c r="F1" s="142"/>
      <c r="G1" s="142"/>
      <c r="H1" s="142"/>
      <c r="I1" s="66"/>
      <c r="J1" s="66"/>
      <c r="K1" s="66"/>
      <c r="L1" s="66"/>
    </row>
    <row r="2" spans="1:12" ht="15">
      <c r="A2" s="143" t="s">
        <v>210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0"/>
    </row>
    <row r="3" spans="1:12" ht="15">
      <c r="A3" s="143" t="s">
        <v>183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66"/>
    </row>
    <row r="4" spans="1:12" ht="1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66"/>
    </row>
    <row r="5" spans="1:12" ht="15">
      <c r="A5" s="145" t="s">
        <v>211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66"/>
    </row>
    <row r="6" spans="1:12" ht="15">
      <c r="A6" s="145" t="s">
        <v>212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66"/>
    </row>
    <row r="7" spans="1:12" ht="15">
      <c r="A7" s="146" t="s">
        <v>184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66"/>
    </row>
    <row r="8" spans="1:12" ht="18.75" customHeight="1">
      <c r="A8" s="139" t="s">
        <v>213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66"/>
    </row>
    <row r="9" spans="1:12" ht="1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66"/>
    </row>
    <row r="10" spans="1:12" ht="15" customHeight="1">
      <c r="A10" s="147" t="s">
        <v>185</v>
      </c>
      <c r="B10" s="147"/>
      <c r="C10" s="147" t="s">
        <v>186</v>
      </c>
      <c r="D10" s="147"/>
      <c r="E10" s="147" t="s">
        <v>187</v>
      </c>
      <c r="F10" s="147"/>
      <c r="G10" s="66"/>
      <c r="H10" s="66"/>
      <c r="I10" s="66"/>
      <c r="J10" s="66"/>
      <c r="K10" s="66"/>
      <c r="L10" s="66"/>
    </row>
    <row r="11" spans="1:12" ht="15" customHeight="1">
      <c r="A11" s="147" t="s">
        <v>188</v>
      </c>
      <c r="B11" s="147"/>
      <c r="C11" s="147" t="s">
        <v>189</v>
      </c>
      <c r="D11" s="147"/>
      <c r="E11" s="147" t="s">
        <v>190</v>
      </c>
      <c r="F11" s="147"/>
      <c r="G11" s="66"/>
      <c r="H11" s="66"/>
      <c r="I11" s="66"/>
      <c r="J11" s="66"/>
      <c r="K11" s="66"/>
      <c r="L11" s="66"/>
    </row>
    <row r="12" spans="1:12" ht="15" customHeight="1">
      <c r="A12" s="147" t="s">
        <v>191</v>
      </c>
      <c r="B12" s="147"/>
      <c r="C12" s="147" t="s">
        <v>192</v>
      </c>
      <c r="D12" s="147"/>
      <c r="E12" s="147" t="s">
        <v>193</v>
      </c>
      <c r="F12" s="147"/>
      <c r="G12" s="66"/>
      <c r="H12" s="66"/>
      <c r="I12" s="66"/>
      <c r="J12" s="66"/>
      <c r="K12" s="66"/>
      <c r="L12" s="66"/>
    </row>
    <row r="13" spans="1:12" ht="15" customHeight="1">
      <c r="A13" s="147" t="s">
        <v>194</v>
      </c>
      <c r="B13" s="147"/>
      <c r="C13" s="147" t="s">
        <v>195</v>
      </c>
      <c r="D13" s="147"/>
      <c r="E13" s="147" t="s">
        <v>196</v>
      </c>
      <c r="F13" s="147"/>
      <c r="G13" s="66"/>
      <c r="H13" s="66"/>
      <c r="I13" s="66"/>
      <c r="J13" s="66"/>
      <c r="K13" s="66"/>
      <c r="L13" s="66"/>
    </row>
    <row r="14" spans="1:12" ht="15" customHeight="1">
      <c r="A14" s="147" t="s">
        <v>197</v>
      </c>
      <c r="B14" s="147"/>
      <c r="C14" s="147" t="s">
        <v>198</v>
      </c>
      <c r="D14" s="147"/>
      <c r="E14" s="147" t="s">
        <v>199</v>
      </c>
      <c r="F14" s="147"/>
      <c r="G14" s="66"/>
      <c r="H14" s="66"/>
      <c r="I14" s="66"/>
      <c r="J14" s="66"/>
      <c r="K14" s="66"/>
      <c r="L14" s="66"/>
    </row>
    <row r="15" spans="1:12" ht="15" customHeight="1">
      <c r="A15" s="147" t="s">
        <v>200</v>
      </c>
      <c r="B15" s="147"/>
      <c r="C15" s="147" t="s">
        <v>201</v>
      </c>
      <c r="D15" s="147"/>
      <c r="E15" s="66"/>
      <c r="F15" s="66"/>
      <c r="G15" s="66"/>
      <c r="H15" s="66"/>
      <c r="I15" s="66"/>
      <c r="J15" s="66"/>
      <c r="K15" s="66"/>
      <c r="L15" s="66"/>
    </row>
    <row r="16" spans="1:12" ht="20.25" customHeight="1">
      <c r="A16" s="154" t="s">
        <v>202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66"/>
    </row>
    <row r="17" spans="1:12" ht="10.5" customHeight="1">
      <c r="A17" s="139" t="s">
        <v>214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</row>
    <row r="18" spans="1:12" ht="18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</row>
    <row r="19" spans="1:12" ht="14.2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</row>
    <row r="20" spans="1:12" ht="18.75" customHeight="1">
      <c r="A20" s="149" t="s">
        <v>215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</row>
    <row r="21" spans="1:12" ht="13.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</row>
    <row r="22" spans="1:12" ht="18.75" customHeight="1">
      <c r="A22" s="153" t="s">
        <v>216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</row>
    <row r="23" spans="1:12" ht="15" customHeight="1">
      <c r="A23" s="145" t="s">
        <v>203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66"/>
    </row>
    <row r="24" spans="1:12" ht="15">
      <c r="A24" s="150" t="s">
        <v>204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66"/>
    </row>
    <row r="25" spans="1:12" ht="1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66"/>
    </row>
    <row r="26" spans="1:12" ht="15" customHeight="1">
      <c r="A26" s="145" t="s">
        <v>205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</row>
    <row r="27" spans="1:12" ht="13.5" customHeight="1">
      <c r="A27" s="145" t="s">
        <v>206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</row>
    <row r="28" spans="1:12" ht="11.25" customHeight="1">
      <c r="A28" s="145" t="s">
        <v>207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</row>
    <row r="29" spans="1:12" ht="27" customHeight="1">
      <c r="A29" s="146" t="s">
        <v>263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</row>
    <row r="30" spans="1:12" ht="18.75" customHeight="1">
      <c r="A30" s="153" t="s">
        <v>217</v>
      </c>
      <c r="B30" s="142"/>
      <c r="C30" s="142"/>
      <c r="D30" s="142"/>
      <c r="E30" s="142"/>
      <c r="F30" s="142"/>
      <c r="G30" s="142"/>
      <c r="H30" s="142"/>
      <c r="I30" s="142"/>
      <c r="J30" s="142"/>
      <c r="K30" s="66"/>
      <c r="L30" s="66"/>
    </row>
    <row r="31" spans="1:12" ht="18.75" customHeight="1">
      <c r="A31" s="151" t="s">
        <v>218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</row>
    <row r="32" spans="1:12" ht="17.25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2" ht="15" customHeight="1">
      <c r="A33" s="66"/>
      <c r="B33" s="66"/>
      <c r="C33" s="66"/>
      <c r="D33" s="66"/>
      <c r="E33" s="148" t="s">
        <v>208</v>
      </c>
      <c r="F33" s="148"/>
      <c r="G33" s="148"/>
      <c r="H33" s="148"/>
      <c r="I33" s="66"/>
      <c r="J33" s="66"/>
      <c r="K33" s="66"/>
      <c r="L33" s="66"/>
    </row>
    <row r="34" spans="1:12" ht="15">
      <c r="A34" s="66"/>
      <c r="B34" s="66"/>
      <c r="C34" s="66"/>
      <c r="D34" s="66"/>
      <c r="E34" s="67" t="s">
        <v>209</v>
      </c>
      <c r="F34" s="66"/>
      <c r="G34" s="66"/>
      <c r="H34" s="66"/>
      <c r="I34" s="66"/>
      <c r="J34" s="66"/>
      <c r="K34" s="66"/>
      <c r="L34" s="66"/>
    </row>
  </sheetData>
  <sheetProtection password="F046" sheet="1"/>
  <mergeCells count="37">
    <mergeCell ref="E13:F13"/>
    <mergeCell ref="A30:J30"/>
    <mergeCell ref="A22:L22"/>
    <mergeCell ref="A23:K23"/>
    <mergeCell ref="A14:B14"/>
    <mergeCell ref="A15:B15"/>
    <mergeCell ref="A16:K16"/>
    <mergeCell ref="A28:L28"/>
    <mergeCell ref="E14:F14"/>
    <mergeCell ref="A17:L19"/>
    <mergeCell ref="E33:H33"/>
    <mergeCell ref="A20:L21"/>
    <mergeCell ref="A24:K25"/>
    <mergeCell ref="A31:L32"/>
    <mergeCell ref="A29:L29"/>
    <mergeCell ref="C13:D13"/>
    <mergeCell ref="C14:D14"/>
    <mergeCell ref="C15:D15"/>
    <mergeCell ref="A26:L26"/>
    <mergeCell ref="A27:L27"/>
    <mergeCell ref="A13:B13"/>
    <mergeCell ref="A10:B10"/>
    <mergeCell ref="A11:B11"/>
    <mergeCell ref="A12:B12"/>
    <mergeCell ref="E10:F10"/>
    <mergeCell ref="E11:F11"/>
    <mergeCell ref="E12:F12"/>
    <mergeCell ref="C10:D10"/>
    <mergeCell ref="C11:D11"/>
    <mergeCell ref="C12:D12"/>
    <mergeCell ref="A8:K9"/>
    <mergeCell ref="A1:H1"/>
    <mergeCell ref="A2:L2"/>
    <mergeCell ref="A5:K5"/>
    <mergeCell ref="A6:K6"/>
    <mergeCell ref="A7:K7"/>
    <mergeCell ref="A3:K4"/>
  </mergeCells>
  <printOptions/>
  <pageMargins left="0.2362204724409449" right="0.2362204724409449" top="0.1968503937007874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PageLayoutView="0" workbookViewId="0" topLeftCell="B2">
      <selection activeCell="I16" sqref="I16"/>
    </sheetView>
  </sheetViews>
  <sheetFormatPr defaultColWidth="9.140625" defaultRowHeight="15"/>
  <cols>
    <col min="1" max="1" width="2.57421875" style="6" bestFit="1" customWidth="1"/>
    <col min="2" max="2" width="3.28125" style="6" customWidth="1"/>
    <col min="3" max="3" width="3.421875" style="6" customWidth="1"/>
    <col min="4" max="5" width="3.7109375" style="6" customWidth="1"/>
    <col min="6" max="6" width="48.28125" style="6" bestFit="1" customWidth="1"/>
    <col min="7" max="7" width="17.57421875" style="6" bestFit="1" customWidth="1"/>
    <col min="8" max="8" width="24.8515625" style="6" bestFit="1" customWidth="1"/>
    <col min="9" max="9" width="15.00390625" style="6" bestFit="1" customWidth="1"/>
    <col min="10" max="10" width="19.57421875" style="6" customWidth="1"/>
    <col min="11" max="16384" width="9.140625" style="6" customWidth="1"/>
  </cols>
  <sheetData>
    <row r="1" spans="1:10" ht="15.75">
      <c r="A1" s="11">
        <v>0</v>
      </c>
      <c r="B1" s="165" t="s">
        <v>30</v>
      </c>
      <c r="C1" s="166"/>
      <c r="D1" s="166"/>
      <c r="E1" s="166"/>
      <c r="F1" s="166"/>
      <c r="G1" s="166"/>
      <c r="H1" s="166"/>
      <c r="I1" s="166"/>
      <c r="J1" s="73"/>
    </row>
    <row r="2" spans="1:10" ht="15.75">
      <c r="A2" s="11">
        <v>0</v>
      </c>
      <c r="B2" s="161" t="s">
        <v>35</v>
      </c>
      <c r="C2" s="162"/>
      <c r="D2" s="162"/>
      <c r="E2" s="163"/>
      <c r="F2" s="165" t="s">
        <v>36</v>
      </c>
      <c r="G2" s="166"/>
      <c r="H2" s="156"/>
      <c r="I2" s="179"/>
      <c r="J2" s="179"/>
    </row>
    <row r="3" spans="1:10" ht="15.75">
      <c r="A3" s="11">
        <v>0</v>
      </c>
      <c r="B3" s="158" t="s">
        <v>37</v>
      </c>
      <c r="C3" s="159"/>
      <c r="D3" s="159"/>
      <c r="E3" s="160"/>
      <c r="F3" s="70" t="s">
        <v>32</v>
      </c>
      <c r="G3" s="156"/>
      <c r="H3" s="157"/>
      <c r="I3" s="157"/>
      <c r="J3" s="157"/>
    </row>
    <row r="4" spans="1:10" ht="15.75">
      <c r="A4" s="11">
        <v>0</v>
      </c>
      <c r="B4" s="176" t="s">
        <v>38</v>
      </c>
      <c r="C4" s="177"/>
      <c r="D4" s="177"/>
      <c r="E4" s="178"/>
      <c r="F4" s="74"/>
      <c r="G4" s="71" t="s">
        <v>33</v>
      </c>
      <c r="H4" s="75"/>
      <c r="I4" s="15" t="s">
        <v>34</v>
      </c>
      <c r="J4" s="72"/>
    </row>
    <row r="5" spans="1:10" ht="31.5">
      <c r="A5" s="11">
        <v>0</v>
      </c>
      <c r="B5" s="173"/>
      <c r="C5" s="174"/>
      <c r="D5" s="174"/>
      <c r="E5" s="175"/>
      <c r="F5" s="12" t="s">
        <v>53</v>
      </c>
      <c r="G5" s="13" t="s">
        <v>39</v>
      </c>
      <c r="H5" s="13" t="s">
        <v>40</v>
      </c>
      <c r="I5" s="14" t="s">
        <v>3</v>
      </c>
      <c r="J5" s="13" t="s">
        <v>1</v>
      </c>
    </row>
    <row r="6" spans="1:10" ht="15.75">
      <c r="A6" s="15">
        <v>1</v>
      </c>
      <c r="B6" s="15">
        <v>1</v>
      </c>
      <c r="C6" s="15" t="s">
        <v>120</v>
      </c>
      <c r="D6" s="15">
        <v>0</v>
      </c>
      <c r="E6" s="15">
        <v>1</v>
      </c>
      <c r="F6" s="16" t="s">
        <v>54</v>
      </c>
      <c r="G6" s="8"/>
      <c r="H6" s="8"/>
      <c r="I6" s="17">
        <f>ROUND(0.23/60*30,2)</f>
        <v>0.12</v>
      </c>
      <c r="J6" s="17">
        <f>I6*H6</f>
        <v>0</v>
      </c>
    </row>
    <row r="7" spans="1:10" ht="15.75">
      <c r="A7" s="15">
        <v>1</v>
      </c>
      <c r="B7" s="15">
        <v>1</v>
      </c>
      <c r="C7" s="15" t="s">
        <v>120</v>
      </c>
      <c r="D7" s="15">
        <v>0</v>
      </c>
      <c r="E7" s="15">
        <v>3</v>
      </c>
      <c r="F7" s="16" t="s">
        <v>74</v>
      </c>
      <c r="G7" s="8"/>
      <c r="H7" s="8"/>
      <c r="I7" s="17">
        <f>ROUND(0.23/60*46,2)</f>
        <v>0.18</v>
      </c>
      <c r="J7" s="17">
        <f aca="true" t="shared" si="0" ref="J7:J89">I7*H7</f>
        <v>0</v>
      </c>
    </row>
    <row r="8" spans="1:10" ht="15.75">
      <c r="A8" s="15">
        <v>1</v>
      </c>
      <c r="B8" s="15">
        <v>1</v>
      </c>
      <c r="C8" s="15" t="s">
        <v>120</v>
      </c>
      <c r="D8" s="15">
        <v>0</v>
      </c>
      <c r="E8" s="15">
        <v>6</v>
      </c>
      <c r="F8" s="16" t="s">
        <v>55</v>
      </c>
      <c r="G8" s="8"/>
      <c r="H8" s="8"/>
      <c r="I8" s="17">
        <v>0.23</v>
      </c>
      <c r="J8" s="17">
        <f t="shared" si="0"/>
        <v>0</v>
      </c>
    </row>
    <row r="9" spans="1:10" ht="15.75">
      <c r="A9" s="15">
        <v>1</v>
      </c>
      <c r="B9" s="15">
        <v>1</v>
      </c>
      <c r="C9" s="15" t="s">
        <v>120</v>
      </c>
      <c r="D9" s="15">
        <v>1</v>
      </c>
      <c r="E9" s="15">
        <v>1</v>
      </c>
      <c r="F9" s="16" t="s">
        <v>56</v>
      </c>
      <c r="G9" s="8"/>
      <c r="H9" s="8"/>
      <c r="I9" s="17">
        <f>ROUND(0.23/60*90,2)</f>
        <v>0.35</v>
      </c>
      <c r="J9" s="17">
        <f t="shared" si="0"/>
        <v>0</v>
      </c>
    </row>
    <row r="10" spans="1:10" ht="15.75">
      <c r="A10" s="15">
        <v>1</v>
      </c>
      <c r="B10" s="15">
        <v>1</v>
      </c>
      <c r="C10" s="15" t="s">
        <v>120</v>
      </c>
      <c r="D10" s="15">
        <v>1</v>
      </c>
      <c r="E10" s="15">
        <v>3</v>
      </c>
      <c r="F10" s="16" t="s">
        <v>57</v>
      </c>
      <c r="G10" s="8"/>
      <c r="H10" s="8"/>
      <c r="I10" s="17">
        <f>ROUND(0.23/60*120,2)</f>
        <v>0.46</v>
      </c>
      <c r="J10" s="17">
        <f t="shared" si="0"/>
        <v>0</v>
      </c>
    </row>
    <row r="11" spans="1:10" ht="15.75">
      <c r="A11" s="15">
        <v>1</v>
      </c>
      <c r="B11" s="15">
        <v>2</v>
      </c>
      <c r="C11" s="15" t="s">
        <v>121</v>
      </c>
      <c r="D11" s="15">
        <v>0</v>
      </c>
      <c r="E11" s="15">
        <v>1</v>
      </c>
      <c r="F11" s="16" t="s">
        <v>99</v>
      </c>
      <c r="G11" s="8"/>
      <c r="H11" s="8"/>
      <c r="I11" s="17">
        <v>0.22</v>
      </c>
      <c r="J11" s="17">
        <f t="shared" si="0"/>
        <v>0</v>
      </c>
    </row>
    <row r="12" spans="1:10" ht="15.75">
      <c r="A12" s="15">
        <v>1</v>
      </c>
      <c r="B12" s="15">
        <v>2</v>
      </c>
      <c r="C12" s="15" t="s">
        <v>121</v>
      </c>
      <c r="D12" s="15">
        <v>0</v>
      </c>
      <c r="E12" s="15">
        <v>2</v>
      </c>
      <c r="F12" s="16" t="s">
        <v>75</v>
      </c>
      <c r="G12" s="8"/>
      <c r="H12" s="8"/>
      <c r="I12" s="17">
        <f>ROUND(0.22/60*74,2)</f>
        <v>0.27</v>
      </c>
      <c r="J12" s="17">
        <f t="shared" si="0"/>
        <v>0</v>
      </c>
    </row>
    <row r="13" spans="1:10" ht="15.75">
      <c r="A13" s="15">
        <v>1</v>
      </c>
      <c r="B13" s="15">
        <v>2</v>
      </c>
      <c r="C13" s="15" t="s">
        <v>121</v>
      </c>
      <c r="D13" s="15">
        <v>0</v>
      </c>
      <c r="E13" s="15">
        <v>3</v>
      </c>
      <c r="F13" s="16" t="s">
        <v>76</v>
      </c>
      <c r="G13" s="8"/>
      <c r="H13" s="8"/>
      <c r="I13" s="17">
        <f>ROUND(0.22/60*80,2)</f>
        <v>0.29</v>
      </c>
      <c r="J13" s="17">
        <f t="shared" si="0"/>
        <v>0</v>
      </c>
    </row>
    <row r="14" spans="1:10" ht="15.75">
      <c r="A14" s="15">
        <v>1</v>
      </c>
      <c r="B14" s="15">
        <v>2</v>
      </c>
      <c r="C14" s="15" t="s">
        <v>121</v>
      </c>
      <c r="D14" s="15">
        <v>0</v>
      </c>
      <c r="E14" s="15">
        <v>4</v>
      </c>
      <c r="F14" s="16" t="s">
        <v>122</v>
      </c>
      <c r="G14" s="8"/>
      <c r="H14" s="8"/>
      <c r="I14" s="17">
        <f>0.22/60*100</f>
        <v>0.36666666666666664</v>
      </c>
      <c r="J14" s="17">
        <f t="shared" si="0"/>
        <v>0</v>
      </c>
    </row>
    <row r="15" spans="1:10" ht="15.75">
      <c r="A15" s="15">
        <v>1</v>
      </c>
      <c r="B15" s="15">
        <v>2</v>
      </c>
      <c r="C15" s="15" t="s">
        <v>124</v>
      </c>
      <c r="D15" s="15">
        <v>0</v>
      </c>
      <c r="E15" s="15">
        <v>1</v>
      </c>
      <c r="F15" s="16" t="s">
        <v>100</v>
      </c>
      <c r="G15" s="8"/>
      <c r="H15" s="8"/>
      <c r="I15" s="17">
        <v>0.22</v>
      </c>
      <c r="J15" s="17">
        <f t="shared" si="0"/>
        <v>0</v>
      </c>
    </row>
    <row r="16" spans="1:10" ht="15.75">
      <c r="A16" s="15">
        <v>1</v>
      </c>
      <c r="B16" s="15">
        <v>2</v>
      </c>
      <c r="C16" s="15" t="s">
        <v>124</v>
      </c>
      <c r="D16" s="15">
        <v>0</v>
      </c>
      <c r="E16" s="15">
        <v>2</v>
      </c>
      <c r="F16" s="16" t="s">
        <v>77</v>
      </c>
      <c r="G16" s="8"/>
      <c r="H16" s="8"/>
      <c r="I16" s="17">
        <f>ROUND(0.22/60*74,2)</f>
        <v>0.27</v>
      </c>
      <c r="J16" s="17">
        <f t="shared" si="0"/>
        <v>0</v>
      </c>
    </row>
    <row r="17" spans="1:10" ht="15.75">
      <c r="A17" s="15">
        <v>1</v>
      </c>
      <c r="B17" s="15">
        <v>2</v>
      </c>
      <c r="C17" s="15" t="s">
        <v>124</v>
      </c>
      <c r="D17" s="15">
        <v>0</v>
      </c>
      <c r="E17" s="15">
        <v>3</v>
      </c>
      <c r="F17" s="16" t="s">
        <v>78</v>
      </c>
      <c r="G17" s="8"/>
      <c r="H17" s="8"/>
      <c r="I17" s="17">
        <f>ROUND(0.22/60*80,2)</f>
        <v>0.29</v>
      </c>
      <c r="J17" s="17">
        <f t="shared" si="0"/>
        <v>0</v>
      </c>
    </row>
    <row r="18" spans="1:10" ht="15.75">
      <c r="A18" s="15">
        <v>1</v>
      </c>
      <c r="B18" s="15">
        <v>2</v>
      </c>
      <c r="C18" s="15" t="s">
        <v>124</v>
      </c>
      <c r="D18" s="15">
        <v>0</v>
      </c>
      <c r="E18" s="15">
        <v>4</v>
      </c>
      <c r="F18" s="16" t="s">
        <v>123</v>
      </c>
      <c r="G18" s="8"/>
      <c r="H18" s="8"/>
      <c r="I18" s="17">
        <f>0.22/60*100</f>
        <v>0.36666666666666664</v>
      </c>
      <c r="J18" s="17">
        <f t="shared" si="0"/>
        <v>0</v>
      </c>
    </row>
    <row r="19" spans="1:10" ht="15.75">
      <c r="A19" s="15">
        <v>1</v>
      </c>
      <c r="B19" s="15">
        <v>2</v>
      </c>
      <c r="C19" s="15" t="s">
        <v>125</v>
      </c>
      <c r="D19" s="15">
        <v>0</v>
      </c>
      <c r="E19" s="15">
        <v>1</v>
      </c>
      <c r="F19" s="16" t="s">
        <v>101</v>
      </c>
      <c r="G19" s="8"/>
      <c r="H19" s="8"/>
      <c r="I19" s="17">
        <v>0.22</v>
      </c>
      <c r="J19" s="17">
        <f t="shared" si="0"/>
        <v>0</v>
      </c>
    </row>
    <row r="20" spans="1:10" ht="15.75">
      <c r="A20" s="15">
        <v>1</v>
      </c>
      <c r="B20" s="15">
        <v>2</v>
      </c>
      <c r="C20" s="15" t="s">
        <v>125</v>
      </c>
      <c r="D20" s="15">
        <v>0</v>
      </c>
      <c r="E20" s="15">
        <v>2</v>
      </c>
      <c r="F20" s="16" t="s">
        <v>102</v>
      </c>
      <c r="G20" s="8"/>
      <c r="H20" s="8"/>
      <c r="I20" s="17">
        <f>ROUND(0.22/60*74,2)</f>
        <v>0.27</v>
      </c>
      <c r="J20" s="17">
        <f t="shared" si="0"/>
        <v>0</v>
      </c>
    </row>
    <row r="21" spans="1:10" ht="15.75">
      <c r="A21" s="15">
        <v>1</v>
      </c>
      <c r="B21" s="15">
        <v>2</v>
      </c>
      <c r="C21" s="15" t="s">
        <v>125</v>
      </c>
      <c r="D21" s="15">
        <v>0</v>
      </c>
      <c r="E21" s="15">
        <v>3</v>
      </c>
      <c r="F21" s="16" t="s">
        <v>103</v>
      </c>
      <c r="G21" s="8"/>
      <c r="H21" s="8"/>
      <c r="I21" s="17">
        <f>ROUND(0.22/60*80,2)</f>
        <v>0.29</v>
      </c>
      <c r="J21" s="17">
        <f t="shared" si="0"/>
        <v>0</v>
      </c>
    </row>
    <row r="22" spans="1:10" ht="15.75">
      <c r="A22" s="15">
        <v>1</v>
      </c>
      <c r="B22" s="15">
        <v>2</v>
      </c>
      <c r="C22" s="15" t="s">
        <v>125</v>
      </c>
      <c r="D22" s="15">
        <v>0</v>
      </c>
      <c r="E22" s="15">
        <v>4</v>
      </c>
      <c r="F22" s="16" t="s">
        <v>104</v>
      </c>
      <c r="G22" s="8"/>
      <c r="H22" s="8"/>
      <c r="I22" s="17">
        <f>ROUND(0.22/60*148,2)</f>
        <v>0.54</v>
      </c>
      <c r="J22" s="17">
        <f t="shared" si="0"/>
        <v>0</v>
      </c>
    </row>
    <row r="23" spans="1:10" ht="15.75">
      <c r="A23" s="15">
        <v>1</v>
      </c>
      <c r="B23" s="15">
        <v>3</v>
      </c>
      <c r="C23" s="15" t="s">
        <v>126</v>
      </c>
      <c r="D23" s="15">
        <v>0</v>
      </c>
      <c r="E23" s="15">
        <v>1</v>
      </c>
      <c r="F23" s="16" t="s">
        <v>109</v>
      </c>
      <c r="G23" s="8"/>
      <c r="H23" s="8"/>
      <c r="I23" s="17">
        <f>ROUND(0.15/700*35,2)</f>
        <v>0.01</v>
      </c>
      <c r="J23" s="17">
        <f>I23*H23</f>
        <v>0</v>
      </c>
    </row>
    <row r="24" spans="1:10" ht="15.75">
      <c r="A24" s="15">
        <v>1</v>
      </c>
      <c r="B24" s="15">
        <v>3</v>
      </c>
      <c r="C24" s="15" t="s">
        <v>126</v>
      </c>
      <c r="D24" s="15">
        <v>0</v>
      </c>
      <c r="E24" s="15">
        <v>2</v>
      </c>
      <c r="F24" s="16" t="s">
        <v>108</v>
      </c>
      <c r="G24" s="8"/>
      <c r="H24" s="8"/>
      <c r="I24" s="17">
        <f>ROUND(0.15/700*50,2)</f>
        <v>0.01</v>
      </c>
      <c r="J24" s="17">
        <f>I24*H24</f>
        <v>0</v>
      </c>
    </row>
    <row r="25" spans="1:10" ht="15.75">
      <c r="A25" s="15">
        <v>1</v>
      </c>
      <c r="B25" s="15">
        <v>3</v>
      </c>
      <c r="C25" s="15" t="s">
        <v>126</v>
      </c>
      <c r="D25" s="15">
        <v>0</v>
      </c>
      <c r="E25" s="15">
        <v>3</v>
      </c>
      <c r="F25" s="16" t="s">
        <v>107</v>
      </c>
      <c r="G25" s="8"/>
      <c r="H25" s="8"/>
      <c r="I25" s="17">
        <f>ROUND(0.15/700*66,2)</f>
        <v>0.01</v>
      </c>
      <c r="J25" s="17">
        <f>I25*H25</f>
        <v>0</v>
      </c>
    </row>
    <row r="26" spans="1:10" ht="15.75">
      <c r="A26" s="15">
        <v>1</v>
      </c>
      <c r="B26" s="15">
        <v>3</v>
      </c>
      <c r="C26" s="15" t="s">
        <v>126</v>
      </c>
      <c r="D26" s="15">
        <v>0</v>
      </c>
      <c r="E26" s="15">
        <v>4</v>
      </c>
      <c r="F26" s="16" t="s">
        <v>106</v>
      </c>
      <c r="G26" s="8"/>
      <c r="H26" s="8"/>
      <c r="I26" s="17">
        <f>ROUND(0.15/700*70,2)</f>
        <v>0.02</v>
      </c>
      <c r="J26" s="17">
        <f>I26*H26</f>
        <v>0</v>
      </c>
    </row>
    <row r="27" spans="1:10" ht="15.75">
      <c r="A27" s="15">
        <v>1</v>
      </c>
      <c r="B27" s="15">
        <v>3</v>
      </c>
      <c r="C27" s="15" t="s">
        <v>127</v>
      </c>
      <c r="D27" s="15">
        <v>1</v>
      </c>
      <c r="E27" s="15">
        <v>0</v>
      </c>
      <c r="F27" s="16" t="s">
        <v>110</v>
      </c>
      <c r="G27" s="8"/>
      <c r="H27" s="8"/>
      <c r="I27" s="17">
        <f>ROUND(0.15/700*650,2)</f>
        <v>0.14</v>
      </c>
      <c r="J27" s="17">
        <f t="shared" si="0"/>
        <v>0</v>
      </c>
    </row>
    <row r="28" spans="1:10" ht="15.75">
      <c r="A28" s="15">
        <v>1</v>
      </c>
      <c r="B28" s="15">
        <v>3</v>
      </c>
      <c r="C28" s="15" t="s">
        <v>127</v>
      </c>
      <c r="D28" s="15">
        <v>1</v>
      </c>
      <c r="E28" s="15">
        <v>1</v>
      </c>
      <c r="F28" s="16" t="s">
        <v>111</v>
      </c>
      <c r="G28" s="8"/>
      <c r="H28" s="8"/>
      <c r="I28" s="17">
        <f>ROUND(0.15/700*700,2)</f>
        <v>0.15</v>
      </c>
      <c r="J28" s="17">
        <f t="shared" si="0"/>
        <v>0</v>
      </c>
    </row>
    <row r="29" spans="1:10" ht="15.75">
      <c r="A29" s="15">
        <v>1</v>
      </c>
      <c r="B29" s="15">
        <v>3</v>
      </c>
      <c r="C29" s="15" t="s">
        <v>127</v>
      </c>
      <c r="D29" s="15">
        <v>1</v>
      </c>
      <c r="E29" s="15">
        <v>2</v>
      </c>
      <c r="F29" s="16" t="s">
        <v>112</v>
      </c>
      <c r="G29" s="8"/>
      <c r="H29" s="8"/>
      <c r="I29" s="17">
        <f>ROUND(0.15/700*800,2)</f>
        <v>0.17</v>
      </c>
      <c r="J29" s="17">
        <f t="shared" si="0"/>
        <v>0</v>
      </c>
    </row>
    <row r="30" spans="1:10" ht="15.75">
      <c r="A30" s="15">
        <v>1</v>
      </c>
      <c r="B30" s="15">
        <v>3</v>
      </c>
      <c r="C30" s="15" t="s">
        <v>127</v>
      </c>
      <c r="D30" s="15">
        <v>1</v>
      </c>
      <c r="E30" s="15">
        <v>4</v>
      </c>
      <c r="F30" s="16" t="s">
        <v>130</v>
      </c>
      <c r="G30" s="8"/>
      <c r="H30" s="8"/>
      <c r="I30" s="17">
        <f>ROUND(0.15/700*1300,2)</f>
        <v>0.28</v>
      </c>
      <c r="J30" s="17">
        <f t="shared" si="0"/>
        <v>0</v>
      </c>
    </row>
    <row r="31" spans="1:10" ht="15.75">
      <c r="A31" s="15">
        <v>1</v>
      </c>
      <c r="B31" s="15">
        <v>3</v>
      </c>
      <c r="C31" s="15" t="s">
        <v>128</v>
      </c>
      <c r="D31" s="15">
        <v>1</v>
      </c>
      <c r="E31" s="15">
        <v>0</v>
      </c>
      <c r="F31" s="16" t="s">
        <v>113</v>
      </c>
      <c r="G31" s="8"/>
      <c r="H31" s="8"/>
      <c r="I31" s="17">
        <f>ROUND(0.15/700*650,2)</f>
        <v>0.14</v>
      </c>
      <c r="J31" s="17">
        <f t="shared" si="0"/>
        <v>0</v>
      </c>
    </row>
    <row r="32" spans="1:10" ht="15.75">
      <c r="A32" s="15">
        <v>1</v>
      </c>
      <c r="B32" s="15">
        <v>3</v>
      </c>
      <c r="C32" s="15" t="s">
        <v>128</v>
      </c>
      <c r="D32" s="15">
        <v>1</v>
      </c>
      <c r="E32" s="15">
        <v>1</v>
      </c>
      <c r="F32" s="16" t="s">
        <v>114</v>
      </c>
      <c r="G32" s="8"/>
      <c r="H32" s="8"/>
      <c r="I32" s="17">
        <f>ROUND(0.15/700*700,2)</f>
        <v>0.15</v>
      </c>
      <c r="J32" s="17">
        <f t="shared" si="0"/>
        <v>0</v>
      </c>
    </row>
    <row r="33" spans="1:10" ht="15.75">
      <c r="A33" s="15">
        <v>1</v>
      </c>
      <c r="B33" s="15">
        <v>3</v>
      </c>
      <c r="C33" s="15" t="s">
        <v>128</v>
      </c>
      <c r="D33" s="15">
        <v>1</v>
      </c>
      <c r="E33" s="15">
        <v>2</v>
      </c>
      <c r="F33" s="16" t="s">
        <v>115</v>
      </c>
      <c r="G33" s="8"/>
      <c r="H33" s="8"/>
      <c r="I33" s="17">
        <f>ROUND(0.15/700*800,2)</f>
        <v>0.17</v>
      </c>
      <c r="J33" s="17">
        <f t="shared" si="0"/>
        <v>0</v>
      </c>
    </row>
    <row r="34" spans="1:10" ht="15.75">
      <c r="A34" s="15">
        <v>1</v>
      </c>
      <c r="B34" s="15">
        <v>3</v>
      </c>
      <c r="C34" s="15" t="s">
        <v>128</v>
      </c>
      <c r="D34" s="15">
        <v>1</v>
      </c>
      <c r="E34" s="15">
        <v>4</v>
      </c>
      <c r="F34" s="16" t="s">
        <v>131</v>
      </c>
      <c r="G34" s="8"/>
      <c r="H34" s="8"/>
      <c r="I34" s="17">
        <f>ROUND(0.15/700*1300,2)</f>
        <v>0.28</v>
      </c>
      <c r="J34" s="17">
        <f t="shared" si="0"/>
        <v>0</v>
      </c>
    </row>
    <row r="35" spans="1:10" ht="15.75">
      <c r="A35" s="15">
        <v>1</v>
      </c>
      <c r="B35" s="15">
        <v>3</v>
      </c>
      <c r="C35" s="15" t="s">
        <v>129</v>
      </c>
      <c r="D35" s="15">
        <v>0</v>
      </c>
      <c r="E35" s="15">
        <v>1</v>
      </c>
      <c r="F35" s="16" t="s">
        <v>105</v>
      </c>
      <c r="G35" s="8"/>
      <c r="H35" s="8"/>
      <c r="I35" s="17">
        <f>ROUND(0.15/700*200,2)</f>
        <v>0.04</v>
      </c>
      <c r="J35" s="17">
        <f t="shared" si="0"/>
        <v>0</v>
      </c>
    </row>
    <row r="36" spans="1:10" ht="15.75">
      <c r="A36" s="15">
        <v>1</v>
      </c>
      <c r="B36" s="15">
        <v>3</v>
      </c>
      <c r="C36" s="15" t="s">
        <v>129</v>
      </c>
      <c r="D36" s="15">
        <v>0</v>
      </c>
      <c r="E36" s="15">
        <v>2</v>
      </c>
      <c r="F36" s="16" t="s">
        <v>116</v>
      </c>
      <c r="G36" s="8"/>
      <c r="H36" s="8"/>
      <c r="I36" s="17">
        <f>ROUND(0.15/700*180,2)</f>
        <v>0.04</v>
      </c>
      <c r="J36" s="17">
        <f t="shared" si="0"/>
        <v>0</v>
      </c>
    </row>
    <row r="37" spans="1:10" ht="15.75">
      <c r="A37" s="15">
        <v>1</v>
      </c>
      <c r="B37" s="15">
        <v>3</v>
      </c>
      <c r="C37" s="15" t="s">
        <v>129</v>
      </c>
      <c r="D37" s="15">
        <v>0</v>
      </c>
      <c r="E37" s="15">
        <v>3</v>
      </c>
      <c r="F37" s="16" t="s">
        <v>117</v>
      </c>
      <c r="G37" s="8"/>
      <c r="H37" s="8"/>
      <c r="I37" s="17">
        <f>ROUND(0.15/700*210,2)</f>
        <v>0.05</v>
      </c>
      <c r="J37" s="17">
        <f t="shared" si="0"/>
        <v>0</v>
      </c>
    </row>
    <row r="38" spans="1:10" ht="15.75">
      <c r="A38" s="15">
        <v>1</v>
      </c>
      <c r="B38" s="15">
        <v>3</v>
      </c>
      <c r="C38" s="15" t="s">
        <v>129</v>
      </c>
      <c r="D38" s="15">
        <v>0</v>
      </c>
      <c r="E38" s="15">
        <v>4</v>
      </c>
      <c r="F38" s="16" t="s">
        <v>118</v>
      </c>
      <c r="G38" s="8"/>
      <c r="H38" s="8"/>
      <c r="I38" s="17">
        <f>ROUND(0.15/700*250,2)</f>
        <v>0.05</v>
      </c>
      <c r="J38" s="17">
        <f t="shared" si="0"/>
        <v>0</v>
      </c>
    </row>
    <row r="39" spans="1:10" ht="15.75">
      <c r="A39" s="15">
        <v>1</v>
      </c>
      <c r="B39" s="15">
        <v>3</v>
      </c>
      <c r="C39" s="15" t="s">
        <v>129</v>
      </c>
      <c r="D39" s="15">
        <v>0</v>
      </c>
      <c r="E39" s="15">
        <v>5</v>
      </c>
      <c r="F39" s="16" t="s">
        <v>119</v>
      </c>
      <c r="G39" s="8"/>
      <c r="H39" s="8"/>
      <c r="I39" s="17">
        <f>ROUND(0.15/700*1024,2)</f>
        <v>0.22</v>
      </c>
      <c r="J39" s="17">
        <f t="shared" si="0"/>
        <v>0</v>
      </c>
    </row>
    <row r="40" spans="1:10" ht="15.75">
      <c r="A40" s="15">
        <v>1</v>
      </c>
      <c r="B40" s="15">
        <v>4</v>
      </c>
      <c r="C40" s="15" t="s">
        <v>132</v>
      </c>
      <c r="D40" s="15">
        <v>0</v>
      </c>
      <c r="E40" s="15">
        <v>2</v>
      </c>
      <c r="F40" s="16" t="s">
        <v>58</v>
      </c>
      <c r="G40" s="8"/>
      <c r="H40" s="8"/>
      <c r="I40" s="17">
        <f>ROUND(0.29/60*30,2)</f>
        <v>0.15</v>
      </c>
      <c r="J40" s="17">
        <f t="shared" si="0"/>
        <v>0</v>
      </c>
    </row>
    <row r="41" spans="1:10" ht="15.75">
      <c r="A41" s="15">
        <v>1</v>
      </c>
      <c r="B41" s="15">
        <v>4</v>
      </c>
      <c r="C41" s="15" t="s">
        <v>132</v>
      </c>
      <c r="D41" s="15">
        <v>0</v>
      </c>
      <c r="E41" s="15">
        <v>3</v>
      </c>
      <c r="F41" s="16" t="s">
        <v>59</v>
      </c>
      <c r="G41" s="8"/>
      <c r="H41" s="8"/>
      <c r="I41" s="17">
        <f>ROUND(0.29/60*60,2)</f>
        <v>0.29</v>
      </c>
      <c r="J41" s="17">
        <f t="shared" si="0"/>
        <v>0</v>
      </c>
    </row>
    <row r="42" spans="1:10" ht="15.75">
      <c r="A42" s="15">
        <v>1</v>
      </c>
      <c r="B42" s="15">
        <v>4</v>
      </c>
      <c r="C42" s="15" t="s">
        <v>132</v>
      </c>
      <c r="D42" s="15">
        <v>0</v>
      </c>
      <c r="E42" s="15">
        <v>4</v>
      </c>
      <c r="F42" s="16" t="s">
        <v>60</v>
      </c>
      <c r="G42" s="8"/>
      <c r="H42" s="8"/>
      <c r="I42" s="17">
        <f>ROUND(0.29/60*90,2)</f>
        <v>0.44</v>
      </c>
      <c r="J42" s="17">
        <f t="shared" si="0"/>
        <v>0</v>
      </c>
    </row>
    <row r="43" spans="1:10" ht="15.75">
      <c r="A43" s="15">
        <v>1</v>
      </c>
      <c r="B43" s="15">
        <v>4</v>
      </c>
      <c r="C43" s="15" t="s">
        <v>132</v>
      </c>
      <c r="D43" s="15">
        <v>0</v>
      </c>
      <c r="E43" s="15">
        <v>5</v>
      </c>
      <c r="F43" s="16" t="s">
        <v>61</v>
      </c>
      <c r="G43" s="8"/>
      <c r="H43" s="8"/>
      <c r="I43" s="17">
        <f>ROUND(0.29/60*120,2)</f>
        <v>0.58</v>
      </c>
      <c r="J43" s="17">
        <f t="shared" si="0"/>
        <v>0</v>
      </c>
    </row>
    <row r="44" spans="1:10" ht="15.75">
      <c r="A44" s="15">
        <v>1</v>
      </c>
      <c r="B44" s="15">
        <v>4</v>
      </c>
      <c r="C44" s="15" t="s">
        <v>132</v>
      </c>
      <c r="D44" s="15">
        <v>0</v>
      </c>
      <c r="E44" s="15">
        <v>6</v>
      </c>
      <c r="F44" s="16" t="s">
        <v>62</v>
      </c>
      <c r="G44" s="8"/>
      <c r="H44" s="8"/>
      <c r="I44" s="17">
        <f>ROUND(0.29/60*180,2)</f>
        <v>0.87</v>
      </c>
      <c r="J44" s="17">
        <f t="shared" si="0"/>
        <v>0</v>
      </c>
    </row>
    <row r="45" spans="1:10" ht="15.75">
      <c r="A45" s="15">
        <v>1</v>
      </c>
      <c r="B45" s="15">
        <v>4</v>
      </c>
      <c r="C45" s="15" t="s">
        <v>132</v>
      </c>
      <c r="D45" s="15">
        <v>0</v>
      </c>
      <c r="E45" s="15">
        <v>8</v>
      </c>
      <c r="F45" s="16" t="s">
        <v>63</v>
      </c>
      <c r="G45" s="8"/>
      <c r="H45" s="8"/>
      <c r="I45" s="17">
        <f>ROUND(0.29/60*240,2)</f>
        <v>1.16</v>
      </c>
      <c r="J45" s="17">
        <f t="shared" si="0"/>
        <v>0</v>
      </c>
    </row>
    <row r="46" spans="1:10" ht="15.75">
      <c r="A46" s="15">
        <v>1</v>
      </c>
      <c r="B46" s="15">
        <v>5</v>
      </c>
      <c r="C46" s="15" t="s">
        <v>133</v>
      </c>
      <c r="D46" s="15">
        <v>0</v>
      </c>
      <c r="E46" s="15">
        <v>1</v>
      </c>
      <c r="F46" s="16" t="s">
        <v>93</v>
      </c>
      <c r="G46" s="8"/>
      <c r="H46" s="8"/>
      <c r="I46" s="17">
        <f>ROUND(0.29/60*30,2)</f>
        <v>0.15</v>
      </c>
      <c r="J46" s="17">
        <f aca="true" t="shared" si="1" ref="J46:J51">I46*H46</f>
        <v>0</v>
      </c>
    </row>
    <row r="47" spans="1:10" ht="15.75">
      <c r="A47" s="15">
        <v>1</v>
      </c>
      <c r="B47" s="15">
        <v>5</v>
      </c>
      <c r="C47" s="15" t="s">
        <v>133</v>
      </c>
      <c r="D47" s="15">
        <v>0</v>
      </c>
      <c r="E47" s="15">
        <v>2</v>
      </c>
      <c r="F47" s="16" t="s">
        <v>94</v>
      </c>
      <c r="G47" s="8"/>
      <c r="H47" s="8"/>
      <c r="I47" s="17">
        <f>ROUND(0.29/60*60,2)</f>
        <v>0.29</v>
      </c>
      <c r="J47" s="17">
        <f t="shared" si="1"/>
        <v>0</v>
      </c>
    </row>
    <row r="48" spans="1:10" ht="15.75">
      <c r="A48" s="15">
        <v>1</v>
      </c>
      <c r="B48" s="15">
        <v>5</v>
      </c>
      <c r="C48" s="15" t="s">
        <v>133</v>
      </c>
      <c r="D48" s="15">
        <v>0</v>
      </c>
      <c r="E48" s="15">
        <v>4</v>
      </c>
      <c r="F48" s="16" t="s">
        <v>95</v>
      </c>
      <c r="G48" s="8"/>
      <c r="H48" s="8"/>
      <c r="I48" s="17">
        <f>ROUND(0.29/60*90,2)</f>
        <v>0.44</v>
      </c>
      <c r="J48" s="17">
        <f t="shared" si="1"/>
        <v>0</v>
      </c>
    </row>
    <row r="49" spans="1:10" ht="15.75">
      <c r="A49" s="15">
        <v>1</v>
      </c>
      <c r="B49" s="15">
        <v>5</v>
      </c>
      <c r="C49" s="15" t="s">
        <v>133</v>
      </c>
      <c r="D49" s="15">
        <v>0</v>
      </c>
      <c r="E49" s="15">
        <v>5</v>
      </c>
      <c r="F49" s="16" t="s">
        <v>96</v>
      </c>
      <c r="G49" s="8"/>
      <c r="H49" s="8"/>
      <c r="I49" s="17">
        <f>ROUND(0.29/60*120,2)</f>
        <v>0.58</v>
      </c>
      <c r="J49" s="17">
        <f t="shared" si="1"/>
        <v>0</v>
      </c>
    </row>
    <row r="50" spans="1:10" ht="15.75">
      <c r="A50" s="15">
        <v>1</v>
      </c>
      <c r="B50" s="15">
        <v>5</v>
      </c>
      <c r="C50" s="15" t="s">
        <v>133</v>
      </c>
      <c r="D50" s="15">
        <v>0</v>
      </c>
      <c r="E50" s="15">
        <v>7</v>
      </c>
      <c r="F50" s="16" t="s">
        <v>97</v>
      </c>
      <c r="G50" s="8"/>
      <c r="H50" s="8"/>
      <c r="I50" s="17">
        <f>ROUND(0.29/60*180,2)</f>
        <v>0.87</v>
      </c>
      <c r="J50" s="17">
        <f t="shared" si="1"/>
        <v>0</v>
      </c>
    </row>
    <row r="51" spans="1:10" ht="15.75">
      <c r="A51" s="15">
        <v>1</v>
      </c>
      <c r="B51" s="15">
        <v>5</v>
      </c>
      <c r="C51" s="15" t="s">
        <v>133</v>
      </c>
      <c r="D51" s="15">
        <v>0</v>
      </c>
      <c r="E51" s="15">
        <v>8</v>
      </c>
      <c r="F51" s="16" t="s">
        <v>98</v>
      </c>
      <c r="G51" s="8"/>
      <c r="H51" s="8"/>
      <c r="I51" s="17">
        <f>ROUND(0.29/60*240,2)</f>
        <v>1.16</v>
      </c>
      <c r="J51" s="17">
        <f t="shared" si="1"/>
        <v>0</v>
      </c>
    </row>
    <row r="52" spans="1:10" ht="15.75">
      <c r="A52" s="15">
        <v>1</v>
      </c>
      <c r="B52" s="15">
        <v>5</v>
      </c>
      <c r="C52" s="15" t="s">
        <v>138</v>
      </c>
      <c r="D52" s="15">
        <v>0</v>
      </c>
      <c r="E52" s="15">
        <v>1</v>
      </c>
      <c r="F52" s="16" t="s">
        <v>134</v>
      </c>
      <c r="G52" s="8"/>
      <c r="H52" s="8"/>
      <c r="I52" s="17">
        <f>ROUND(0.41/120*30,2)</f>
        <v>0.1</v>
      </c>
      <c r="J52" s="17">
        <f t="shared" si="0"/>
        <v>0</v>
      </c>
    </row>
    <row r="53" spans="1:10" ht="15.75">
      <c r="A53" s="15">
        <v>1</v>
      </c>
      <c r="B53" s="15">
        <v>5</v>
      </c>
      <c r="C53" s="15" t="s">
        <v>138</v>
      </c>
      <c r="D53" s="15">
        <v>0</v>
      </c>
      <c r="E53" s="15">
        <v>2</v>
      </c>
      <c r="F53" s="16" t="s">
        <v>135</v>
      </c>
      <c r="G53" s="8"/>
      <c r="H53" s="8"/>
      <c r="I53" s="17">
        <f>ROUND(0.41/120*60,2)</f>
        <v>0.21</v>
      </c>
      <c r="J53" s="17">
        <f t="shared" si="0"/>
        <v>0</v>
      </c>
    </row>
    <row r="54" spans="1:10" ht="15.75">
      <c r="A54" s="15">
        <v>1</v>
      </c>
      <c r="B54" s="15">
        <v>5</v>
      </c>
      <c r="C54" s="15" t="s">
        <v>138</v>
      </c>
      <c r="D54" s="15">
        <v>0</v>
      </c>
      <c r="E54" s="15">
        <v>5</v>
      </c>
      <c r="F54" s="16" t="s">
        <v>136</v>
      </c>
      <c r="G54" s="8"/>
      <c r="H54" s="8"/>
      <c r="I54" s="17">
        <f>ROUND(0.41/120*120,2)</f>
        <v>0.41</v>
      </c>
      <c r="J54" s="17">
        <f t="shared" si="0"/>
        <v>0</v>
      </c>
    </row>
    <row r="55" spans="1:10" ht="15.75">
      <c r="A55" s="15">
        <v>1</v>
      </c>
      <c r="B55" s="15">
        <v>5</v>
      </c>
      <c r="C55" s="15" t="s">
        <v>138</v>
      </c>
      <c r="D55" s="15">
        <v>0</v>
      </c>
      <c r="E55" s="15">
        <v>8</v>
      </c>
      <c r="F55" s="16" t="s">
        <v>137</v>
      </c>
      <c r="G55" s="8"/>
      <c r="H55" s="8"/>
      <c r="I55" s="17">
        <f>ROUND(0.41/120*240,2)</f>
        <v>0.82</v>
      </c>
      <c r="J55" s="17">
        <f t="shared" si="0"/>
        <v>0</v>
      </c>
    </row>
    <row r="56" spans="1:10" ht="15.75">
      <c r="A56" s="15">
        <v>1</v>
      </c>
      <c r="B56" s="15">
        <v>5</v>
      </c>
      <c r="C56" s="15" t="s">
        <v>139</v>
      </c>
      <c r="D56" s="15">
        <v>0</v>
      </c>
      <c r="E56" s="15">
        <v>1</v>
      </c>
      <c r="F56" s="16" t="s">
        <v>79</v>
      </c>
      <c r="G56" s="8"/>
      <c r="H56" s="8"/>
      <c r="I56" s="17">
        <f>ROUND(0.41/120*30,2)</f>
        <v>0.1</v>
      </c>
      <c r="J56" s="17">
        <f t="shared" si="0"/>
        <v>0</v>
      </c>
    </row>
    <row r="57" spans="1:10" ht="15.75">
      <c r="A57" s="15">
        <v>1</v>
      </c>
      <c r="B57" s="15">
        <v>5</v>
      </c>
      <c r="C57" s="15" t="s">
        <v>139</v>
      </c>
      <c r="D57" s="15">
        <v>0</v>
      </c>
      <c r="E57" s="15">
        <v>2</v>
      </c>
      <c r="F57" s="16" t="s">
        <v>80</v>
      </c>
      <c r="G57" s="8"/>
      <c r="H57" s="8"/>
      <c r="I57" s="17">
        <f>ROUND(0.41/120*60,2)</f>
        <v>0.21</v>
      </c>
      <c r="J57" s="17">
        <f t="shared" si="0"/>
        <v>0</v>
      </c>
    </row>
    <row r="58" spans="1:10" ht="15.75">
      <c r="A58" s="15">
        <v>1</v>
      </c>
      <c r="B58" s="15">
        <v>5</v>
      </c>
      <c r="C58" s="15" t="s">
        <v>139</v>
      </c>
      <c r="D58" s="15">
        <v>0</v>
      </c>
      <c r="E58" s="15">
        <v>5</v>
      </c>
      <c r="F58" s="16" t="s">
        <v>81</v>
      </c>
      <c r="G58" s="8"/>
      <c r="H58" s="8"/>
      <c r="I58" s="17">
        <f>ROUND(0.41/120*120,2)</f>
        <v>0.41</v>
      </c>
      <c r="J58" s="17">
        <f t="shared" si="0"/>
        <v>0</v>
      </c>
    </row>
    <row r="59" spans="1:10" ht="15.75">
      <c r="A59" s="18">
        <v>1</v>
      </c>
      <c r="B59" s="18">
        <v>5</v>
      </c>
      <c r="C59" s="18" t="s">
        <v>139</v>
      </c>
      <c r="D59" s="18">
        <v>0</v>
      </c>
      <c r="E59" s="18">
        <v>8</v>
      </c>
      <c r="F59" s="19" t="s">
        <v>82</v>
      </c>
      <c r="G59" s="8"/>
      <c r="H59" s="8"/>
      <c r="I59" s="17">
        <f>ROUND(0.41/120*240,2)</f>
        <v>0.82</v>
      </c>
      <c r="J59" s="17">
        <f t="shared" si="0"/>
        <v>0</v>
      </c>
    </row>
    <row r="60" spans="1:10" ht="15.75">
      <c r="A60" s="18">
        <v>1</v>
      </c>
      <c r="B60" s="18">
        <v>5</v>
      </c>
      <c r="C60" s="18" t="s">
        <v>139</v>
      </c>
      <c r="D60" s="18">
        <v>1</v>
      </c>
      <c r="E60" s="18">
        <v>1</v>
      </c>
      <c r="F60" s="19" t="s">
        <v>64</v>
      </c>
      <c r="G60" s="8"/>
      <c r="H60" s="8"/>
      <c r="I60" s="17">
        <f>ROUND(0.41/4.7*1.4,2)</f>
        <v>0.12</v>
      </c>
      <c r="J60" s="17">
        <f>I60*H60</f>
        <v>0</v>
      </c>
    </row>
    <row r="61" spans="1:10" ht="15.75">
      <c r="A61" s="18">
        <v>1</v>
      </c>
      <c r="B61" s="18">
        <v>6</v>
      </c>
      <c r="C61" s="18" t="s">
        <v>143</v>
      </c>
      <c r="D61" s="18">
        <v>0</v>
      </c>
      <c r="E61" s="18">
        <v>2</v>
      </c>
      <c r="F61" s="19" t="s">
        <v>140</v>
      </c>
      <c r="G61" s="8"/>
      <c r="H61" s="8"/>
      <c r="I61" s="17">
        <f>ROUND(0.41/4.7*2.8,2)</f>
        <v>0.24</v>
      </c>
      <c r="J61" s="17">
        <f t="shared" si="0"/>
        <v>0</v>
      </c>
    </row>
    <row r="62" spans="1:10" ht="15.75">
      <c r="A62" s="18">
        <v>1</v>
      </c>
      <c r="B62" s="18">
        <v>6</v>
      </c>
      <c r="C62" s="18" t="s">
        <v>143</v>
      </c>
      <c r="D62" s="18">
        <v>0</v>
      </c>
      <c r="E62" s="18">
        <v>4</v>
      </c>
      <c r="F62" s="19" t="s">
        <v>141</v>
      </c>
      <c r="G62" s="8"/>
      <c r="H62" s="8"/>
      <c r="I62" s="17">
        <f>ROUND(0.41/4.7*4.7,2)</f>
        <v>0.41</v>
      </c>
      <c r="J62" s="17">
        <f t="shared" si="0"/>
        <v>0</v>
      </c>
    </row>
    <row r="63" spans="1:10" ht="15.75">
      <c r="A63" s="18">
        <v>1</v>
      </c>
      <c r="B63" s="18">
        <v>6</v>
      </c>
      <c r="C63" s="18" t="s">
        <v>143</v>
      </c>
      <c r="D63" s="18">
        <v>0</v>
      </c>
      <c r="E63" s="18">
        <v>9</v>
      </c>
      <c r="F63" s="19" t="s">
        <v>142</v>
      </c>
      <c r="G63" s="8"/>
      <c r="H63" s="8"/>
      <c r="I63" s="17">
        <f>ROUND(0.41/4.7*8.5,2)</f>
        <v>0.74</v>
      </c>
      <c r="J63" s="17">
        <f t="shared" si="0"/>
        <v>0</v>
      </c>
    </row>
    <row r="64" spans="1:10" ht="15.75">
      <c r="A64" s="18">
        <v>1</v>
      </c>
      <c r="B64" s="18">
        <v>6</v>
      </c>
      <c r="C64" s="18" t="s">
        <v>143</v>
      </c>
      <c r="D64" s="18">
        <v>0</v>
      </c>
      <c r="E64" s="18">
        <v>6</v>
      </c>
      <c r="F64" s="19" t="s">
        <v>145</v>
      </c>
      <c r="G64" s="8"/>
      <c r="H64" s="8"/>
      <c r="I64" s="17">
        <f>ROUND(0.41/4.7*9.4,2)</f>
        <v>0.82</v>
      </c>
      <c r="J64" s="17">
        <f t="shared" si="0"/>
        <v>0</v>
      </c>
    </row>
    <row r="65" spans="1:10" ht="15.75">
      <c r="A65" s="18">
        <v>1</v>
      </c>
      <c r="B65" s="18">
        <v>6</v>
      </c>
      <c r="C65" s="18" t="s">
        <v>144</v>
      </c>
      <c r="D65" s="18">
        <v>0</v>
      </c>
      <c r="E65" s="18">
        <v>2</v>
      </c>
      <c r="F65" s="19" t="s">
        <v>83</v>
      </c>
      <c r="G65" s="8"/>
      <c r="H65" s="8"/>
      <c r="I65" s="17">
        <f>ROUND(0.41/4.7*2.8,2)</f>
        <v>0.24</v>
      </c>
      <c r="J65" s="17">
        <f t="shared" si="0"/>
        <v>0</v>
      </c>
    </row>
    <row r="66" spans="1:10" ht="15.75">
      <c r="A66" s="18">
        <v>1</v>
      </c>
      <c r="B66" s="18">
        <v>6</v>
      </c>
      <c r="C66" s="18" t="s">
        <v>144</v>
      </c>
      <c r="D66" s="18">
        <v>0</v>
      </c>
      <c r="E66" s="18">
        <v>4</v>
      </c>
      <c r="F66" s="19" t="s">
        <v>84</v>
      </c>
      <c r="G66" s="8"/>
      <c r="H66" s="8"/>
      <c r="I66" s="17">
        <f>ROUND(0.41/4.7*4.7,2)</f>
        <v>0.41</v>
      </c>
      <c r="J66" s="17">
        <f t="shared" si="0"/>
        <v>0</v>
      </c>
    </row>
    <row r="67" spans="1:10" ht="15.75">
      <c r="A67" s="18">
        <v>1</v>
      </c>
      <c r="B67" s="18">
        <v>6</v>
      </c>
      <c r="C67" s="18" t="s">
        <v>144</v>
      </c>
      <c r="D67" s="18">
        <v>0</v>
      </c>
      <c r="E67" s="18">
        <v>8</v>
      </c>
      <c r="F67" s="19" t="s">
        <v>85</v>
      </c>
      <c r="G67" s="8"/>
      <c r="H67" s="8"/>
      <c r="I67" s="17">
        <f>ROUND(0.41/4.7*8.5,2)</f>
        <v>0.74</v>
      </c>
      <c r="J67" s="17">
        <f t="shared" si="0"/>
        <v>0</v>
      </c>
    </row>
    <row r="68" spans="1:10" ht="15.75">
      <c r="A68" s="18">
        <v>1</v>
      </c>
      <c r="B68" s="18">
        <v>6</v>
      </c>
      <c r="C68" s="18" t="s">
        <v>144</v>
      </c>
      <c r="D68" s="18">
        <v>0</v>
      </c>
      <c r="E68" s="18">
        <v>6</v>
      </c>
      <c r="F68" s="19" t="s">
        <v>86</v>
      </c>
      <c r="G68" s="8"/>
      <c r="H68" s="8"/>
      <c r="I68" s="17">
        <f>ROUND(0.41/4.7*9.4,2)</f>
        <v>0.82</v>
      </c>
      <c r="J68" s="17">
        <f t="shared" si="0"/>
        <v>0</v>
      </c>
    </row>
    <row r="69" spans="1:10" ht="15.75">
      <c r="A69" s="18">
        <v>1</v>
      </c>
      <c r="B69" s="18">
        <v>6</v>
      </c>
      <c r="C69" s="18" t="s">
        <v>146</v>
      </c>
      <c r="D69" s="18">
        <v>0</v>
      </c>
      <c r="E69" s="18">
        <v>2</v>
      </c>
      <c r="F69" s="19" t="s">
        <v>150</v>
      </c>
      <c r="G69" s="8"/>
      <c r="H69" s="8"/>
      <c r="I69" s="17">
        <f>ROUND(0.41/4.7*2.8,2)</f>
        <v>0.24</v>
      </c>
      <c r="J69" s="17">
        <f t="shared" si="0"/>
        <v>0</v>
      </c>
    </row>
    <row r="70" spans="1:10" ht="15.75">
      <c r="A70" s="18">
        <v>1</v>
      </c>
      <c r="B70" s="18">
        <v>6</v>
      </c>
      <c r="C70" s="18" t="s">
        <v>146</v>
      </c>
      <c r="D70" s="18">
        <v>0</v>
      </c>
      <c r="E70" s="18">
        <v>3</v>
      </c>
      <c r="F70" s="19" t="s">
        <v>149</v>
      </c>
      <c r="G70" s="8"/>
      <c r="H70" s="8"/>
      <c r="I70" s="17">
        <f>ROUND(0.41/4.7*4.7,2)</f>
        <v>0.41</v>
      </c>
      <c r="J70" s="17">
        <f t="shared" si="0"/>
        <v>0</v>
      </c>
    </row>
    <row r="71" spans="1:10" s="7" customFormat="1" ht="15.75">
      <c r="A71" s="18">
        <v>1</v>
      </c>
      <c r="B71" s="18">
        <v>6</v>
      </c>
      <c r="C71" s="18" t="s">
        <v>146</v>
      </c>
      <c r="D71" s="18">
        <v>0</v>
      </c>
      <c r="E71" s="18">
        <v>6</v>
      </c>
      <c r="F71" s="19" t="s">
        <v>148</v>
      </c>
      <c r="G71" s="8"/>
      <c r="H71" s="8"/>
      <c r="I71" s="17">
        <f>ROUND(0.41/4.7*8.5,2)</f>
        <v>0.74</v>
      </c>
      <c r="J71" s="17">
        <f t="shared" si="0"/>
        <v>0</v>
      </c>
    </row>
    <row r="72" spans="1:10" s="7" customFormat="1" ht="15.75">
      <c r="A72" s="18">
        <v>1</v>
      </c>
      <c r="B72" s="18">
        <v>6</v>
      </c>
      <c r="C72" s="18" t="s">
        <v>146</v>
      </c>
      <c r="D72" s="18">
        <v>0</v>
      </c>
      <c r="E72" s="18">
        <v>4</v>
      </c>
      <c r="F72" s="19" t="s">
        <v>147</v>
      </c>
      <c r="G72" s="8"/>
      <c r="H72" s="8"/>
      <c r="I72" s="17">
        <f>ROUND(0.41/4.7*9.4,2)</f>
        <v>0.82</v>
      </c>
      <c r="J72" s="17">
        <f t="shared" si="0"/>
        <v>0</v>
      </c>
    </row>
    <row r="73" spans="1:10" ht="15.75">
      <c r="A73" s="18">
        <v>1</v>
      </c>
      <c r="B73" s="18">
        <v>8</v>
      </c>
      <c r="C73" s="18" t="s">
        <v>151</v>
      </c>
      <c r="D73" s="18">
        <v>0</v>
      </c>
      <c r="E73" s="18">
        <v>1</v>
      </c>
      <c r="F73" s="19" t="s">
        <v>87</v>
      </c>
      <c r="G73" s="8"/>
      <c r="H73" s="8"/>
      <c r="I73" s="17">
        <f>ROUND(0.41/25*25,2)</f>
        <v>0.41</v>
      </c>
      <c r="J73" s="17">
        <f t="shared" si="0"/>
        <v>0</v>
      </c>
    </row>
    <row r="74" spans="1:10" ht="15.75">
      <c r="A74" s="18">
        <v>1</v>
      </c>
      <c r="B74" s="18">
        <v>8</v>
      </c>
      <c r="C74" s="18" t="s">
        <v>151</v>
      </c>
      <c r="D74" s="18">
        <v>0</v>
      </c>
      <c r="E74" s="18">
        <v>2</v>
      </c>
      <c r="F74" s="19" t="s">
        <v>88</v>
      </c>
      <c r="G74" s="8"/>
      <c r="H74" s="8"/>
      <c r="I74" s="17">
        <f>ROUND(0.41/25*25,2)</f>
        <v>0.41</v>
      </c>
      <c r="J74" s="17">
        <f t="shared" si="0"/>
        <v>0</v>
      </c>
    </row>
    <row r="75" spans="1:10" ht="15.75">
      <c r="A75" s="18">
        <v>1</v>
      </c>
      <c r="B75" s="18">
        <v>8</v>
      </c>
      <c r="C75" s="18" t="s">
        <v>151</v>
      </c>
      <c r="D75" s="18">
        <v>0</v>
      </c>
      <c r="E75" s="18">
        <v>3</v>
      </c>
      <c r="F75" s="19" t="s">
        <v>89</v>
      </c>
      <c r="G75" s="8"/>
      <c r="H75" s="8"/>
      <c r="I75" s="17">
        <f>ROUND(0.41/25*50,2)</f>
        <v>0.82</v>
      </c>
      <c r="J75" s="17">
        <f t="shared" si="0"/>
        <v>0</v>
      </c>
    </row>
    <row r="76" spans="1:10" ht="15.75">
      <c r="A76" s="18">
        <v>1</v>
      </c>
      <c r="B76" s="18">
        <v>8</v>
      </c>
      <c r="C76" s="18" t="s">
        <v>151</v>
      </c>
      <c r="D76" s="18">
        <v>0</v>
      </c>
      <c r="E76" s="18">
        <v>4</v>
      </c>
      <c r="F76" s="19" t="s">
        <v>90</v>
      </c>
      <c r="G76" s="8"/>
      <c r="H76" s="8"/>
      <c r="I76" s="17">
        <f>ROUND(0.41/25*50,2)</f>
        <v>0.82</v>
      </c>
      <c r="J76" s="17">
        <f t="shared" si="0"/>
        <v>0</v>
      </c>
    </row>
    <row r="77" spans="1:10" ht="15.75">
      <c r="A77" s="18">
        <v>1</v>
      </c>
      <c r="B77" s="18">
        <v>9</v>
      </c>
      <c r="C77" s="18" t="s">
        <v>151</v>
      </c>
      <c r="D77" s="18">
        <v>0</v>
      </c>
      <c r="E77" s="18">
        <v>1</v>
      </c>
      <c r="F77" s="19" t="s">
        <v>91</v>
      </c>
      <c r="G77" s="8"/>
      <c r="H77" s="8"/>
      <c r="I77" s="17">
        <f>ROUND(0.25/15*15,2)</f>
        <v>0.25</v>
      </c>
      <c r="J77" s="17">
        <f t="shared" si="0"/>
        <v>0</v>
      </c>
    </row>
    <row r="78" spans="1:10" ht="15.75">
      <c r="A78" s="18">
        <v>1</v>
      </c>
      <c r="B78" s="18">
        <v>9</v>
      </c>
      <c r="C78" s="18" t="s">
        <v>151</v>
      </c>
      <c r="D78" s="18">
        <v>0</v>
      </c>
      <c r="E78" s="18">
        <v>2</v>
      </c>
      <c r="F78" s="19" t="s">
        <v>92</v>
      </c>
      <c r="G78" s="8"/>
      <c r="H78" s="8"/>
      <c r="I78" s="17">
        <f>ROUND(0.25/15*15,2)</f>
        <v>0.25</v>
      </c>
      <c r="J78" s="17">
        <f t="shared" si="0"/>
        <v>0</v>
      </c>
    </row>
    <row r="79" spans="1:10" ht="15.75">
      <c r="A79" s="16"/>
      <c r="B79" s="16"/>
      <c r="C79" s="16"/>
      <c r="D79" s="16"/>
      <c r="E79" s="16"/>
      <c r="F79" s="8"/>
      <c r="G79" s="8"/>
      <c r="H79" s="8"/>
      <c r="I79" s="93"/>
      <c r="J79" s="17">
        <f t="shared" si="0"/>
        <v>0</v>
      </c>
    </row>
    <row r="80" spans="1:10" ht="15.75">
      <c r="A80" s="16"/>
      <c r="B80" s="16"/>
      <c r="C80" s="16"/>
      <c r="D80" s="16"/>
      <c r="E80" s="16"/>
      <c r="F80" s="8"/>
      <c r="G80" s="8"/>
      <c r="H80" s="8"/>
      <c r="I80" s="93"/>
      <c r="J80" s="17">
        <f t="shared" si="0"/>
        <v>0</v>
      </c>
    </row>
    <row r="81" spans="1:10" ht="15.75">
      <c r="A81" s="16"/>
      <c r="B81" s="16"/>
      <c r="C81" s="16"/>
      <c r="D81" s="16"/>
      <c r="E81" s="16"/>
      <c r="F81" s="8"/>
      <c r="G81" s="8"/>
      <c r="H81" s="8"/>
      <c r="I81" s="93"/>
      <c r="J81" s="17">
        <f t="shared" si="0"/>
        <v>0</v>
      </c>
    </row>
    <row r="82" spans="1:10" ht="15.75">
      <c r="A82" s="16"/>
      <c r="B82" s="16"/>
      <c r="C82" s="16"/>
      <c r="D82" s="16"/>
      <c r="E82" s="16"/>
      <c r="F82" s="8"/>
      <c r="G82" s="8"/>
      <c r="H82" s="8"/>
      <c r="I82" s="93"/>
      <c r="J82" s="17">
        <f t="shared" si="0"/>
        <v>0</v>
      </c>
    </row>
    <row r="83" spans="1:10" ht="15.75">
      <c r="A83" s="16"/>
      <c r="B83" s="16"/>
      <c r="C83" s="16"/>
      <c r="D83" s="16"/>
      <c r="E83" s="16"/>
      <c r="F83" s="8"/>
      <c r="G83" s="8"/>
      <c r="H83" s="8"/>
      <c r="I83" s="93"/>
      <c r="J83" s="17">
        <f t="shared" si="0"/>
        <v>0</v>
      </c>
    </row>
    <row r="84" spans="1:10" ht="15.75">
      <c r="A84" s="16"/>
      <c r="B84" s="16"/>
      <c r="C84" s="16"/>
      <c r="D84" s="16"/>
      <c r="E84" s="16"/>
      <c r="F84" s="8"/>
      <c r="G84" s="8"/>
      <c r="H84" s="8"/>
      <c r="I84" s="93"/>
      <c r="J84" s="17">
        <f t="shared" si="0"/>
        <v>0</v>
      </c>
    </row>
    <row r="85" spans="1:10" ht="15.75">
      <c r="A85" s="16"/>
      <c r="B85" s="16"/>
      <c r="C85" s="16"/>
      <c r="D85" s="16"/>
      <c r="E85" s="16"/>
      <c r="F85" s="8"/>
      <c r="G85" s="8"/>
      <c r="H85" s="8"/>
      <c r="I85" s="93"/>
      <c r="J85" s="17">
        <f t="shared" si="0"/>
        <v>0</v>
      </c>
    </row>
    <row r="86" spans="1:10" ht="15.75">
      <c r="A86" s="16"/>
      <c r="B86" s="16"/>
      <c r="C86" s="16"/>
      <c r="D86" s="16"/>
      <c r="E86" s="16"/>
      <c r="F86" s="8"/>
      <c r="G86" s="8"/>
      <c r="H86" s="8"/>
      <c r="I86" s="93"/>
      <c r="J86" s="17">
        <f t="shared" si="0"/>
        <v>0</v>
      </c>
    </row>
    <row r="87" spans="1:10" ht="15.75">
      <c r="A87" s="16"/>
      <c r="B87" s="16"/>
      <c r="C87" s="16"/>
      <c r="D87" s="16"/>
      <c r="E87" s="16"/>
      <c r="F87" s="8"/>
      <c r="G87" s="8"/>
      <c r="H87" s="8"/>
      <c r="I87" s="93"/>
      <c r="J87" s="17">
        <f t="shared" si="0"/>
        <v>0</v>
      </c>
    </row>
    <row r="88" spans="1:10" ht="15.75">
      <c r="A88" s="16"/>
      <c r="B88" s="16"/>
      <c r="C88" s="16"/>
      <c r="D88" s="16"/>
      <c r="E88" s="16"/>
      <c r="F88" s="8"/>
      <c r="G88" s="8"/>
      <c r="H88" s="8"/>
      <c r="I88" s="93"/>
      <c r="J88" s="17">
        <f t="shared" si="0"/>
        <v>0</v>
      </c>
    </row>
    <row r="89" spans="1:10" ht="15.75">
      <c r="A89" s="16"/>
      <c r="B89" s="16"/>
      <c r="C89" s="16"/>
      <c r="D89" s="16"/>
      <c r="E89" s="16"/>
      <c r="F89" s="16"/>
      <c r="G89" s="8"/>
      <c r="H89" s="10"/>
      <c r="I89" s="93"/>
      <c r="J89" s="20">
        <f t="shared" si="0"/>
        <v>0</v>
      </c>
    </row>
    <row r="90" spans="1:10" ht="18.75">
      <c r="A90" s="11" t="s">
        <v>180</v>
      </c>
      <c r="B90" s="167"/>
      <c r="C90" s="168"/>
      <c r="D90" s="168"/>
      <c r="E90" s="168"/>
      <c r="F90" s="168"/>
      <c r="G90" s="168"/>
      <c r="H90" s="164" t="s">
        <v>27</v>
      </c>
      <c r="I90" s="164"/>
      <c r="J90" s="21">
        <f>SUM(J6:J89)</f>
        <v>0</v>
      </c>
    </row>
    <row r="91" spans="1:10" ht="18.75">
      <c r="A91" s="11" t="s">
        <v>180</v>
      </c>
      <c r="B91" s="169"/>
      <c r="C91" s="170"/>
      <c r="D91" s="170"/>
      <c r="E91" s="170"/>
      <c r="F91" s="170"/>
      <c r="G91" s="170"/>
      <c r="H91" s="164" t="s">
        <v>41</v>
      </c>
      <c r="I91" s="164"/>
      <c r="J91" s="21">
        <f>J90*22/100</f>
        <v>0</v>
      </c>
    </row>
    <row r="92" spans="1:10" ht="18.75">
      <c r="A92" s="11" t="s">
        <v>180</v>
      </c>
      <c r="B92" s="171"/>
      <c r="C92" s="172"/>
      <c r="D92" s="172"/>
      <c r="E92" s="172"/>
      <c r="F92" s="172"/>
      <c r="G92" s="172"/>
      <c r="H92" s="164" t="s">
        <v>29</v>
      </c>
      <c r="I92" s="164"/>
      <c r="J92" s="21">
        <f>SUM(J90:J91)</f>
        <v>0</v>
      </c>
    </row>
  </sheetData>
  <sheetProtection password="F046" sheet="1"/>
  <mergeCells count="12">
    <mergeCell ref="B4:E4"/>
    <mergeCell ref="H2:J2"/>
    <mergeCell ref="G3:J3"/>
    <mergeCell ref="B3:E3"/>
    <mergeCell ref="B2:E2"/>
    <mergeCell ref="H92:I92"/>
    <mergeCell ref="B1:I1"/>
    <mergeCell ref="B90:G92"/>
    <mergeCell ref="H90:I90"/>
    <mergeCell ref="H91:I91"/>
    <mergeCell ref="B5:E5"/>
    <mergeCell ref="F2:G2"/>
  </mergeCells>
  <hyperlinks>
    <hyperlink ref="F60" r:id="rId1" tooltip="Mini DVD" display="http://it.wikipedia.org/wiki/Mini_DVD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D1">
      <selection activeCell="K14" sqref="K14"/>
    </sheetView>
  </sheetViews>
  <sheetFormatPr defaultColWidth="9.140625" defaultRowHeight="15"/>
  <cols>
    <col min="1" max="5" width="3.7109375" style="24" customWidth="1"/>
    <col min="6" max="6" width="52.00390625" style="24" bestFit="1" customWidth="1"/>
    <col min="7" max="7" width="16.8515625" style="24" customWidth="1"/>
    <col min="8" max="8" width="12.57421875" style="42" customWidth="1"/>
    <col min="9" max="9" width="8.421875" style="24" hidden="1" customWidth="1"/>
    <col min="10" max="10" width="14.140625" style="24" customWidth="1"/>
    <col min="11" max="11" width="17.57421875" style="43" bestFit="1" customWidth="1"/>
    <col min="12" max="12" width="16.8515625" style="43" bestFit="1" customWidth="1"/>
    <col min="13" max="16384" width="9.140625" style="24" customWidth="1"/>
  </cols>
  <sheetData>
    <row r="1" spans="1:12" ht="15">
      <c r="A1" s="22">
        <v>0</v>
      </c>
      <c r="B1" s="23" t="s">
        <v>30</v>
      </c>
      <c r="C1" s="23"/>
      <c r="D1" s="23"/>
      <c r="E1" s="23"/>
      <c r="F1" s="23"/>
      <c r="G1" s="23"/>
      <c r="H1" s="186"/>
      <c r="I1" s="187"/>
      <c r="J1" s="187"/>
      <c r="K1" s="187"/>
      <c r="L1" s="188"/>
    </row>
    <row r="2" spans="1:12" ht="15">
      <c r="A2" s="25">
        <v>0</v>
      </c>
      <c r="B2" s="189" t="s">
        <v>179</v>
      </c>
      <c r="C2" s="189"/>
      <c r="D2" s="189"/>
      <c r="E2" s="190"/>
      <c r="F2" s="23" t="s">
        <v>31</v>
      </c>
      <c r="G2" s="183"/>
      <c r="H2" s="184"/>
      <c r="I2" s="184"/>
      <c r="J2" s="184"/>
      <c r="K2" s="184"/>
      <c r="L2" s="185"/>
    </row>
    <row r="3" spans="1:12" ht="15">
      <c r="A3" s="26">
        <v>0</v>
      </c>
      <c r="B3" s="191"/>
      <c r="C3" s="191"/>
      <c r="D3" s="191"/>
      <c r="E3" s="192"/>
      <c r="F3" s="23" t="s">
        <v>32</v>
      </c>
      <c r="G3" s="183"/>
      <c r="H3" s="184"/>
      <c r="I3" s="184"/>
      <c r="J3" s="184"/>
      <c r="K3" s="184"/>
      <c r="L3" s="185"/>
    </row>
    <row r="4" spans="1:12" ht="15">
      <c r="A4" s="27">
        <v>0</v>
      </c>
      <c r="B4" s="193" t="s">
        <v>38</v>
      </c>
      <c r="C4" s="193"/>
      <c r="D4" s="193"/>
      <c r="E4" s="193"/>
      <c r="F4" s="68"/>
      <c r="G4" s="23" t="s">
        <v>33</v>
      </c>
      <c r="H4" s="194"/>
      <c r="I4" s="195"/>
      <c r="J4" s="196"/>
      <c r="K4" s="29" t="s">
        <v>34</v>
      </c>
      <c r="L4" s="68"/>
    </row>
    <row r="5" spans="1:12" ht="30.75" thickBot="1">
      <c r="A5" s="22">
        <v>0</v>
      </c>
      <c r="B5" s="22"/>
      <c r="C5" s="22"/>
      <c r="D5" s="22"/>
      <c r="E5" s="22"/>
      <c r="F5" s="30" t="s">
        <v>66</v>
      </c>
      <c r="G5" s="31" t="s">
        <v>39</v>
      </c>
      <c r="H5" s="31" t="s">
        <v>40</v>
      </c>
      <c r="I5" s="197" t="s">
        <v>65</v>
      </c>
      <c r="J5" s="198"/>
      <c r="K5" s="32" t="s">
        <v>2</v>
      </c>
      <c r="L5" s="32" t="s">
        <v>1</v>
      </c>
    </row>
    <row r="6" spans="1:12" ht="15.75" thickBot="1">
      <c r="A6" s="22">
        <v>3</v>
      </c>
      <c r="B6" s="22" t="s">
        <v>120</v>
      </c>
      <c r="C6" s="22" t="s">
        <v>120</v>
      </c>
      <c r="D6" s="22">
        <v>0</v>
      </c>
      <c r="E6" s="22">
        <v>1</v>
      </c>
      <c r="F6" s="33" t="s">
        <v>152</v>
      </c>
      <c r="G6" s="1"/>
      <c r="H6" s="1"/>
      <c r="I6" s="34">
        <f aca="true" t="shared" si="0" ref="I6:I16">J6*1000</f>
        <v>512</v>
      </c>
      <c r="J6" s="28">
        <v>0.512</v>
      </c>
      <c r="K6" s="35">
        <f>ROUND((J6*0.05),2)</f>
        <v>0.03</v>
      </c>
      <c r="L6" s="36">
        <f aca="true" t="shared" si="1" ref="L6:L12">IF(K6&lt;=3,(K6*H6),(3*H6))</f>
        <v>0</v>
      </c>
    </row>
    <row r="7" spans="1:12" ht="15.75" thickBot="1">
      <c r="A7" s="22">
        <v>3</v>
      </c>
      <c r="B7" s="22" t="s">
        <v>120</v>
      </c>
      <c r="C7" s="22" t="s">
        <v>120</v>
      </c>
      <c r="D7" s="22">
        <v>0</v>
      </c>
      <c r="E7" s="22">
        <v>2</v>
      </c>
      <c r="F7" s="33" t="s">
        <v>153</v>
      </c>
      <c r="G7" s="1"/>
      <c r="H7" s="1"/>
      <c r="I7" s="34">
        <f t="shared" si="0"/>
        <v>1000</v>
      </c>
      <c r="J7" s="28">
        <v>1</v>
      </c>
      <c r="K7" s="35">
        <f>J7*0.05</f>
        <v>0.05</v>
      </c>
      <c r="L7" s="36">
        <f t="shared" si="1"/>
        <v>0</v>
      </c>
    </row>
    <row r="8" spans="1:12" ht="15.75" thickBot="1">
      <c r="A8" s="22">
        <v>3</v>
      </c>
      <c r="B8" s="22" t="s">
        <v>120</v>
      </c>
      <c r="C8" s="22" t="s">
        <v>120</v>
      </c>
      <c r="D8" s="22">
        <v>0</v>
      </c>
      <c r="E8" s="22">
        <v>3</v>
      </c>
      <c r="F8" s="33" t="s">
        <v>154</v>
      </c>
      <c r="G8" s="1"/>
      <c r="H8" s="1"/>
      <c r="I8" s="34">
        <f t="shared" si="0"/>
        <v>2000</v>
      </c>
      <c r="J8" s="28">
        <v>2</v>
      </c>
      <c r="K8" s="35">
        <f>J8*0.05</f>
        <v>0.1</v>
      </c>
      <c r="L8" s="36">
        <f t="shared" si="1"/>
        <v>0</v>
      </c>
    </row>
    <row r="9" spans="1:12" ht="15.75" thickBot="1">
      <c r="A9" s="22">
        <v>3</v>
      </c>
      <c r="B9" s="22" t="s">
        <v>120</v>
      </c>
      <c r="C9" s="22" t="s">
        <v>120</v>
      </c>
      <c r="D9" s="22">
        <v>0</v>
      </c>
      <c r="E9" s="22">
        <v>4</v>
      </c>
      <c r="F9" s="33" t="s">
        <v>155</v>
      </c>
      <c r="G9" s="1"/>
      <c r="H9" s="1"/>
      <c r="I9" s="34">
        <f t="shared" si="0"/>
        <v>4000</v>
      </c>
      <c r="J9" s="28">
        <v>4</v>
      </c>
      <c r="K9" s="35">
        <f>J9*0.05</f>
        <v>0.2</v>
      </c>
      <c r="L9" s="36">
        <f t="shared" si="1"/>
        <v>0</v>
      </c>
    </row>
    <row r="10" spans="1:12" ht="15.75" thickBot="1">
      <c r="A10" s="22">
        <v>3</v>
      </c>
      <c r="B10" s="22" t="s">
        <v>120</v>
      </c>
      <c r="C10" s="22" t="s">
        <v>120</v>
      </c>
      <c r="D10" s="22">
        <v>0</v>
      </c>
      <c r="E10" s="22">
        <v>5</v>
      </c>
      <c r="F10" s="33" t="s">
        <v>156</v>
      </c>
      <c r="G10" s="1"/>
      <c r="H10" s="1"/>
      <c r="I10" s="34">
        <f t="shared" si="0"/>
        <v>8000</v>
      </c>
      <c r="J10" s="28">
        <v>8</v>
      </c>
      <c r="K10" s="35">
        <f>J10*0.03</f>
        <v>0.24</v>
      </c>
      <c r="L10" s="36">
        <f t="shared" si="1"/>
        <v>0</v>
      </c>
    </row>
    <row r="11" spans="1:12" ht="15.75" thickBot="1">
      <c r="A11" s="22">
        <v>3</v>
      </c>
      <c r="B11" s="22" t="s">
        <v>120</v>
      </c>
      <c r="C11" s="22" t="s">
        <v>120</v>
      </c>
      <c r="D11" s="22">
        <v>0</v>
      </c>
      <c r="E11" s="22">
        <v>6</v>
      </c>
      <c r="F11" s="33" t="s">
        <v>157</v>
      </c>
      <c r="G11" s="1"/>
      <c r="H11" s="1"/>
      <c r="I11" s="34">
        <f t="shared" si="0"/>
        <v>16000</v>
      </c>
      <c r="J11" s="28">
        <v>16</v>
      </c>
      <c r="K11" s="35">
        <f>J11*0.03</f>
        <v>0.48</v>
      </c>
      <c r="L11" s="36">
        <f>IF(K11&lt;=3,(K11*H11),(3*H11))</f>
        <v>0</v>
      </c>
    </row>
    <row r="12" spans="1:12" ht="15.75" thickBot="1">
      <c r="A12" s="22">
        <v>3</v>
      </c>
      <c r="B12" s="22" t="s">
        <v>120</v>
      </c>
      <c r="C12" s="22" t="s">
        <v>120</v>
      </c>
      <c r="D12" s="22">
        <v>0</v>
      </c>
      <c r="E12" s="22">
        <v>7</v>
      </c>
      <c r="F12" s="33" t="s">
        <v>158</v>
      </c>
      <c r="G12" s="1"/>
      <c r="H12" s="1"/>
      <c r="I12" s="34">
        <f t="shared" si="0"/>
        <v>32000</v>
      </c>
      <c r="J12" s="37">
        <v>32</v>
      </c>
      <c r="K12" s="35">
        <f>J12*0.03</f>
        <v>0.96</v>
      </c>
      <c r="L12" s="36">
        <f t="shared" si="1"/>
        <v>0</v>
      </c>
    </row>
    <row r="13" spans="1:12" s="41" customFormat="1" ht="15.75" thickBot="1">
      <c r="A13" s="22">
        <v>3</v>
      </c>
      <c r="B13" s="22" t="s">
        <v>120</v>
      </c>
      <c r="C13" s="22" t="s">
        <v>120</v>
      </c>
      <c r="D13" s="22">
        <v>0</v>
      </c>
      <c r="E13" s="22">
        <v>8</v>
      </c>
      <c r="F13" s="38" t="s">
        <v>254</v>
      </c>
      <c r="G13" s="1"/>
      <c r="H13" s="1"/>
      <c r="I13" s="3"/>
      <c r="J13" s="1"/>
      <c r="K13" s="39">
        <f>IF(I13&lt;=32,0,IF(I13&gt;4999,J13*0.03,IF(I13&gt;32,J13*0.05,("0"))))</f>
        <v>0</v>
      </c>
      <c r="L13" s="40">
        <f>IF(K13&lt;=5,(K13*H13),(5*H13))</f>
        <v>0</v>
      </c>
    </row>
    <row r="14" spans="1:12" s="41" customFormat="1" ht="15.75" thickBot="1">
      <c r="A14" s="22">
        <v>3</v>
      </c>
      <c r="B14" s="22" t="s">
        <v>120</v>
      </c>
      <c r="C14" s="22" t="s">
        <v>120</v>
      </c>
      <c r="D14" s="22">
        <v>0</v>
      </c>
      <c r="E14" s="22">
        <v>9</v>
      </c>
      <c r="F14" s="38" t="s">
        <v>254</v>
      </c>
      <c r="G14" s="1"/>
      <c r="H14" s="1"/>
      <c r="I14" s="3">
        <f t="shared" si="0"/>
        <v>0</v>
      </c>
      <c r="J14" s="1"/>
      <c r="K14" s="39">
        <f>IF(I14&lt;=32,0,IF(I14&gt;4999,J14*0.03,IF(I14&gt;32,J14*0.05,("0"))))</f>
        <v>0</v>
      </c>
      <c r="L14" s="40">
        <f>IF(K14&lt;=5,(K14*H14),(5*H14))</f>
        <v>0</v>
      </c>
    </row>
    <row r="15" spans="1:12" s="41" customFormat="1" ht="15.75" thickBot="1">
      <c r="A15" s="80">
        <v>3</v>
      </c>
      <c r="B15" s="80" t="s">
        <v>120</v>
      </c>
      <c r="C15" s="80" t="s">
        <v>120</v>
      </c>
      <c r="D15" s="80">
        <v>1</v>
      </c>
      <c r="E15" s="80">
        <v>0</v>
      </c>
      <c r="F15" s="38" t="s">
        <v>254</v>
      </c>
      <c r="G15" s="1"/>
      <c r="H15" s="1"/>
      <c r="I15" s="3">
        <f t="shared" si="0"/>
        <v>0</v>
      </c>
      <c r="J15" s="1"/>
      <c r="K15" s="39">
        <f>IF(I15&lt;=32,0,IF(I15&gt;4999,J15*0.03,IF(I15&gt;32,J15*0.05,("0"))))</f>
        <v>0</v>
      </c>
      <c r="L15" s="40">
        <f>IF(K15&lt;=5,(K15*H15),(5*H15))</f>
        <v>0</v>
      </c>
    </row>
    <row r="16" spans="1:12" s="41" customFormat="1" ht="15.75" thickBot="1">
      <c r="A16" s="80">
        <v>3</v>
      </c>
      <c r="B16" s="80" t="s">
        <v>120</v>
      </c>
      <c r="C16" s="80" t="s">
        <v>120</v>
      </c>
      <c r="D16" s="80">
        <v>1</v>
      </c>
      <c r="E16" s="80">
        <v>1</v>
      </c>
      <c r="F16" s="38" t="s">
        <v>254</v>
      </c>
      <c r="G16" s="1"/>
      <c r="H16" s="1"/>
      <c r="I16" s="3">
        <f t="shared" si="0"/>
        <v>0</v>
      </c>
      <c r="J16" s="1"/>
      <c r="K16" s="39">
        <f>IF(I16&lt;=32,0,IF(I16&gt;4999,J16*0.03,IF(I16&gt;32,J16*0.05,("0"))))</f>
        <v>0</v>
      </c>
      <c r="L16" s="40">
        <f>IF(K16&lt;=5,(K16*H16),(5*H16))</f>
        <v>0</v>
      </c>
    </row>
    <row r="17" spans="1:12" s="54" customFormat="1" ht="15">
      <c r="A17" s="63"/>
      <c r="B17" s="63"/>
      <c r="C17" s="63"/>
      <c r="D17" s="63"/>
      <c r="E17" s="63"/>
      <c r="H17" s="96"/>
      <c r="K17" s="97"/>
      <c r="L17" s="97"/>
    </row>
    <row r="18" spans="1:12" ht="30">
      <c r="A18" s="22"/>
      <c r="B18" s="22"/>
      <c r="C18" s="22"/>
      <c r="D18" s="22"/>
      <c r="E18" s="22"/>
      <c r="F18" s="30" t="s">
        <v>67</v>
      </c>
      <c r="G18" s="31" t="s">
        <v>39</v>
      </c>
      <c r="H18" s="31" t="s">
        <v>40</v>
      </c>
      <c r="I18" s="199" t="s">
        <v>65</v>
      </c>
      <c r="J18" s="199"/>
      <c r="K18" s="44" t="s">
        <v>2</v>
      </c>
      <c r="L18" s="44" t="s">
        <v>1</v>
      </c>
    </row>
    <row r="19" spans="1:12" ht="15.75" thickBot="1">
      <c r="A19" s="95">
        <v>3</v>
      </c>
      <c r="B19" s="95" t="s">
        <v>121</v>
      </c>
      <c r="C19" s="95" t="s">
        <v>121</v>
      </c>
      <c r="D19" s="95">
        <v>0</v>
      </c>
      <c r="E19" s="95">
        <v>1</v>
      </c>
      <c r="F19" s="98" t="s">
        <v>159</v>
      </c>
      <c r="G19" s="2"/>
      <c r="H19" s="2"/>
      <c r="I19" s="99">
        <f aca="true" t="shared" si="2" ref="I19:I26">J19*1000</f>
        <v>512</v>
      </c>
      <c r="J19" s="100">
        <v>0.512</v>
      </c>
      <c r="K19" s="101">
        <f>J19*0.1</f>
        <v>0.0512</v>
      </c>
      <c r="L19" s="102">
        <f>IF(K19&lt;=7,(K19*H19),(7*H19))</f>
        <v>0</v>
      </c>
    </row>
    <row r="20" spans="1:12" ht="15.75" thickBot="1">
      <c r="A20" s="22">
        <v>3</v>
      </c>
      <c r="B20" s="22" t="s">
        <v>121</v>
      </c>
      <c r="C20" s="22" t="s">
        <v>121</v>
      </c>
      <c r="D20" s="22">
        <v>0</v>
      </c>
      <c r="E20" s="22">
        <v>2</v>
      </c>
      <c r="F20" s="33" t="s">
        <v>160</v>
      </c>
      <c r="G20" s="1"/>
      <c r="H20" s="1"/>
      <c r="I20" s="34">
        <f t="shared" si="2"/>
        <v>1000</v>
      </c>
      <c r="J20" s="28">
        <v>1</v>
      </c>
      <c r="K20" s="35">
        <f>J20*0.1</f>
        <v>0.1</v>
      </c>
      <c r="L20" s="36">
        <f aca="true" t="shared" si="3" ref="L20:L26">IF(K20&lt;=7,(K20*H20),(7*H20))</f>
        <v>0</v>
      </c>
    </row>
    <row r="21" spans="1:12" ht="15.75" thickBot="1">
      <c r="A21" s="22">
        <v>3</v>
      </c>
      <c r="B21" s="22" t="s">
        <v>121</v>
      </c>
      <c r="C21" s="22" t="s">
        <v>121</v>
      </c>
      <c r="D21" s="22">
        <v>0</v>
      </c>
      <c r="E21" s="22">
        <v>3</v>
      </c>
      <c r="F21" s="33" t="s">
        <v>161</v>
      </c>
      <c r="G21" s="1"/>
      <c r="H21" s="1"/>
      <c r="I21" s="34">
        <f t="shared" si="2"/>
        <v>2000</v>
      </c>
      <c r="J21" s="28">
        <v>2</v>
      </c>
      <c r="K21" s="35">
        <f>J21*0.1</f>
        <v>0.2</v>
      </c>
      <c r="L21" s="36">
        <f t="shared" si="3"/>
        <v>0</v>
      </c>
    </row>
    <row r="22" spans="1:12" ht="15.75" thickBot="1">
      <c r="A22" s="22">
        <v>3</v>
      </c>
      <c r="B22" s="22" t="s">
        <v>121</v>
      </c>
      <c r="C22" s="22" t="s">
        <v>121</v>
      </c>
      <c r="D22" s="22">
        <v>0</v>
      </c>
      <c r="E22" s="22">
        <v>4</v>
      </c>
      <c r="F22" s="33" t="s">
        <v>162</v>
      </c>
      <c r="G22" s="1"/>
      <c r="H22" s="1"/>
      <c r="I22" s="34">
        <f t="shared" si="2"/>
        <v>4000</v>
      </c>
      <c r="J22" s="28">
        <v>4</v>
      </c>
      <c r="K22" s="35">
        <f>J22*0.09</f>
        <v>0.36</v>
      </c>
      <c r="L22" s="36">
        <f t="shared" si="3"/>
        <v>0</v>
      </c>
    </row>
    <row r="23" spans="1:12" ht="15.75" thickBot="1">
      <c r="A23" s="22">
        <v>3</v>
      </c>
      <c r="B23" s="22" t="s">
        <v>121</v>
      </c>
      <c r="C23" s="22" t="s">
        <v>121</v>
      </c>
      <c r="D23" s="22">
        <v>0</v>
      </c>
      <c r="E23" s="22">
        <v>5</v>
      </c>
      <c r="F23" s="33" t="s">
        <v>163</v>
      </c>
      <c r="G23" s="1"/>
      <c r="H23" s="1"/>
      <c r="I23" s="34">
        <f t="shared" si="2"/>
        <v>8000</v>
      </c>
      <c r="J23" s="28">
        <v>8</v>
      </c>
      <c r="K23" s="35">
        <f>J23*0.09</f>
        <v>0.72</v>
      </c>
      <c r="L23" s="36">
        <f t="shared" si="3"/>
        <v>0</v>
      </c>
    </row>
    <row r="24" spans="1:12" ht="15.75" thickBot="1">
      <c r="A24" s="22">
        <v>3</v>
      </c>
      <c r="B24" s="22" t="s">
        <v>121</v>
      </c>
      <c r="C24" s="22" t="s">
        <v>121</v>
      </c>
      <c r="D24" s="22">
        <v>0</v>
      </c>
      <c r="E24" s="22">
        <v>6</v>
      </c>
      <c r="F24" s="33" t="s">
        <v>164</v>
      </c>
      <c r="G24" s="1"/>
      <c r="H24" s="1"/>
      <c r="I24" s="34">
        <f t="shared" si="2"/>
        <v>16000</v>
      </c>
      <c r="J24" s="28">
        <v>16</v>
      </c>
      <c r="K24" s="35">
        <f>J24*0.09</f>
        <v>1.44</v>
      </c>
      <c r="L24" s="36">
        <f t="shared" si="3"/>
        <v>0</v>
      </c>
    </row>
    <row r="25" spans="1:12" ht="15.75" thickBot="1">
      <c r="A25" s="22">
        <v>3</v>
      </c>
      <c r="B25" s="22" t="s">
        <v>121</v>
      </c>
      <c r="C25" s="22" t="s">
        <v>121</v>
      </c>
      <c r="D25" s="22">
        <v>0</v>
      </c>
      <c r="E25" s="22">
        <v>7</v>
      </c>
      <c r="F25" s="33" t="s">
        <v>165</v>
      </c>
      <c r="G25" s="1"/>
      <c r="H25" s="1"/>
      <c r="I25" s="34">
        <f t="shared" si="2"/>
        <v>32000</v>
      </c>
      <c r="J25" s="28">
        <v>32</v>
      </c>
      <c r="K25" s="35">
        <f>J25*0.09</f>
        <v>2.88</v>
      </c>
      <c r="L25" s="36">
        <f t="shared" si="3"/>
        <v>0</v>
      </c>
    </row>
    <row r="26" spans="1:12" ht="15.75" thickBot="1">
      <c r="A26" s="22">
        <v>3</v>
      </c>
      <c r="B26" s="22" t="s">
        <v>121</v>
      </c>
      <c r="C26" s="22" t="s">
        <v>121</v>
      </c>
      <c r="D26" s="22">
        <v>0</v>
      </c>
      <c r="E26" s="22">
        <v>8</v>
      </c>
      <c r="F26" s="33" t="s">
        <v>166</v>
      </c>
      <c r="G26" s="1"/>
      <c r="H26" s="1"/>
      <c r="I26" s="34">
        <f t="shared" si="2"/>
        <v>64000</v>
      </c>
      <c r="J26" s="37">
        <v>64</v>
      </c>
      <c r="K26" s="35">
        <f>J26*0.09</f>
        <v>5.76</v>
      </c>
      <c r="L26" s="36">
        <f t="shared" si="3"/>
        <v>0</v>
      </c>
    </row>
    <row r="27" spans="1:12" ht="15.75" thickBot="1">
      <c r="A27" s="22">
        <v>3</v>
      </c>
      <c r="B27" s="22" t="s">
        <v>121</v>
      </c>
      <c r="C27" s="22" t="s">
        <v>121</v>
      </c>
      <c r="D27" s="22">
        <v>0</v>
      </c>
      <c r="E27" s="22">
        <v>9</v>
      </c>
      <c r="F27" s="38" t="s">
        <v>255</v>
      </c>
      <c r="G27" s="1"/>
      <c r="H27" s="1"/>
      <c r="I27" s="130"/>
      <c r="J27" s="1"/>
      <c r="K27" s="39">
        <f>IF(I27&lt;=256,0,IF(I27&gt;3999,J27*0.09,IF(I27&gt;256,J27*0.1,("0"))))</f>
        <v>0</v>
      </c>
      <c r="L27" s="36">
        <f>IF(K27&lt;=9,(K27*H27),(9*H27))</f>
        <v>0</v>
      </c>
    </row>
    <row r="28" spans="1:12" ht="15.75" thickBot="1">
      <c r="A28" s="22">
        <v>3</v>
      </c>
      <c r="B28" s="22" t="s">
        <v>121</v>
      </c>
      <c r="C28" s="22" t="s">
        <v>121</v>
      </c>
      <c r="D28" s="22">
        <v>1</v>
      </c>
      <c r="E28" s="22">
        <v>0</v>
      </c>
      <c r="F28" s="38" t="s">
        <v>255</v>
      </c>
      <c r="G28" s="1"/>
      <c r="H28" s="1"/>
      <c r="I28" s="131">
        <f>J28*1000</f>
        <v>0</v>
      </c>
      <c r="J28" s="2"/>
      <c r="K28" s="39">
        <f>IF(I28&lt;=256,0,IF(I28&gt;3999,J28*0.09,IF(I28&gt;256,J28*0.1,("0"))))</f>
        <v>0</v>
      </c>
      <c r="L28" s="36">
        <f>IF(K28&lt;=9,(K28*H28),(9*H28))</f>
        <v>0</v>
      </c>
    </row>
    <row r="29" spans="1:12" ht="15.75" thickBot="1">
      <c r="A29" s="80">
        <v>3</v>
      </c>
      <c r="B29" s="80" t="s">
        <v>121</v>
      </c>
      <c r="C29" s="80" t="s">
        <v>121</v>
      </c>
      <c r="D29" s="80">
        <v>1</v>
      </c>
      <c r="E29" s="80">
        <v>1</v>
      </c>
      <c r="F29" s="38" t="s">
        <v>255</v>
      </c>
      <c r="G29" s="1"/>
      <c r="H29" s="1"/>
      <c r="I29" s="131">
        <f>J29*1000</f>
        <v>0</v>
      </c>
      <c r="J29" s="2"/>
      <c r="K29" s="39">
        <f>IF(I29&lt;=256,0,IF(I29&gt;3999,J29*0.09,IF(I29&gt;256,J29*0.1,("0"))))</f>
        <v>0</v>
      </c>
      <c r="L29" s="36">
        <f>IF(K29&lt;=9,(K29*H29),(9*H29))</f>
        <v>0</v>
      </c>
    </row>
    <row r="30" spans="1:12" ht="15.75" thickBot="1">
      <c r="A30" s="80">
        <v>3</v>
      </c>
      <c r="B30" s="80" t="s">
        <v>121</v>
      </c>
      <c r="C30" s="80" t="s">
        <v>121</v>
      </c>
      <c r="D30" s="80">
        <v>1</v>
      </c>
      <c r="E30" s="80">
        <v>2</v>
      </c>
      <c r="F30" s="38" t="s">
        <v>255</v>
      </c>
      <c r="G30" s="1"/>
      <c r="H30" s="1"/>
      <c r="I30" s="131">
        <f>J30*1000</f>
        <v>0</v>
      </c>
      <c r="J30" s="2"/>
      <c r="K30" s="39">
        <f>IF(I30&lt;=256,0,IF(I30&gt;3999,J30*0.09,IF(I30&gt;256,J30*0.1,("0"))))</f>
        <v>0</v>
      </c>
      <c r="L30" s="36">
        <f>IF(K30&lt;=9,(K30*H30),(9*H30))</f>
        <v>0</v>
      </c>
    </row>
    <row r="31" spans="1:12" s="54" customFormat="1" ht="15">
      <c r="A31" s="63"/>
      <c r="B31" s="63"/>
      <c r="C31" s="63"/>
      <c r="D31" s="63"/>
      <c r="E31" s="63"/>
      <c r="H31" s="96"/>
      <c r="K31" s="97"/>
      <c r="L31" s="97"/>
    </row>
    <row r="32" spans="1:12" ht="30.75" thickBot="1">
      <c r="A32" s="22"/>
      <c r="B32" s="22"/>
      <c r="C32" s="22"/>
      <c r="D32" s="22"/>
      <c r="E32" s="22"/>
      <c r="F32" s="30" t="s">
        <v>68</v>
      </c>
      <c r="G32" s="31" t="s">
        <v>39</v>
      </c>
      <c r="H32" s="31" t="s">
        <v>40</v>
      </c>
      <c r="I32" s="199" t="s">
        <v>65</v>
      </c>
      <c r="J32" s="199"/>
      <c r="K32" s="44" t="s">
        <v>2</v>
      </c>
      <c r="L32" s="44" t="s">
        <v>1</v>
      </c>
    </row>
    <row r="33" spans="1:12" ht="15.75" thickBot="1">
      <c r="A33" s="80">
        <v>3</v>
      </c>
      <c r="B33" s="80" t="s">
        <v>124</v>
      </c>
      <c r="C33" s="80" t="s">
        <v>124</v>
      </c>
      <c r="D33" s="80">
        <v>1</v>
      </c>
      <c r="E33" s="80">
        <v>8</v>
      </c>
      <c r="F33" s="33" t="s">
        <v>242</v>
      </c>
      <c r="G33" s="1"/>
      <c r="H33" s="1"/>
      <c r="I33" s="34">
        <f aca="true" t="shared" si="4" ref="I33:I50">J33*1000</f>
        <v>64000</v>
      </c>
      <c r="J33" s="28">
        <v>64</v>
      </c>
      <c r="K33" s="35">
        <f aca="true" t="shared" si="5" ref="K33:K41">J33*0.02</f>
        <v>1.28</v>
      </c>
      <c r="L33" s="36">
        <f aca="true" t="shared" si="6" ref="L33:L47">IF(K33&lt;=12,(K33*H33),(12*H33))</f>
        <v>0</v>
      </c>
    </row>
    <row r="34" spans="1:12" ht="15.75" thickBot="1">
      <c r="A34" s="80">
        <v>3</v>
      </c>
      <c r="B34" s="80" t="s">
        <v>124</v>
      </c>
      <c r="C34" s="80" t="s">
        <v>124</v>
      </c>
      <c r="D34" s="80">
        <v>0</v>
      </c>
      <c r="E34" s="80">
        <v>1</v>
      </c>
      <c r="F34" s="33" t="s">
        <v>167</v>
      </c>
      <c r="G34" s="1"/>
      <c r="H34" s="1"/>
      <c r="I34" s="34">
        <f t="shared" si="4"/>
        <v>80000</v>
      </c>
      <c r="J34" s="28">
        <v>80</v>
      </c>
      <c r="K34" s="35">
        <f t="shared" si="5"/>
        <v>1.6</v>
      </c>
      <c r="L34" s="36">
        <f t="shared" si="6"/>
        <v>0</v>
      </c>
    </row>
    <row r="35" spans="1:12" ht="15.75" thickBot="1">
      <c r="A35" s="80">
        <v>3</v>
      </c>
      <c r="B35" s="80" t="s">
        <v>124</v>
      </c>
      <c r="C35" s="80" t="s">
        <v>124</v>
      </c>
      <c r="D35" s="80">
        <v>0</v>
      </c>
      <c r="E35" s="80">
        <v>2</v>
      </c>
      <c r="F35" s="33" t="s">
        <v>177</v>
      </c>
      <c r="G35" s="1"/>
      <c r="H35" s="1"/>
      <c r="I35" s="34">
        <f t="shared" si="4"/>
        <v>120000</v>
      </c>
      <c r="J35" s="28">
        <v>120</v>
      </c>
      <c r="K35" s="35">
        <f t="shared" si="5"/>
        <v>2.4</v>
      </c>
      <c r="L35" s="36">
        <f t="shared" si="6"/>
        <v>0</v>
      </c>
    </row>
    <row r="36" spans="1:12" ht="15.75" thickBot="1">
      <c r="A36" s="80">
        <v>3</v>
      </c>
      <c r="B36" s="80" t="s">
        <v>124</v>
      </c>
      <c r="C36" s="80" t="s">
        <v>124</v>
      </c>
      <c r="D36" s="80">
        <v>1</v>
      </c>
      <c r="E36" s="80">
        <v>9</v>
      </c>
      <c r="F36" s="33" t="s">
        <v>243</v>
      </c>
      <c r="G36" s="1"/>
      <c r="H36" s="1"/>
      <c r="I36" s="34">
        <f t="shared" si="4"/>
        <v>128000</v>
      </c>
      <c r="J36" s="28">
        <v>128</v>
      </c>
      <c r="K36" s="35">
        <f t="shared" si="5"/>
        <v>2.56</v>
      </c>
      <c r="L36" s="36">
        <f t="shared" si="6"/>
        <v>0</v>
      </c>
    </row>
    <row r="37" spans="1:12" ht="15.75" thickBot="1">
      <c r="A37" s="80">
        <v>3</v>
      </c>
      <c r="B37" s="80" t="s">
        <v>124</v>
      </c>
      <c r="C37" s="80" t="s">
        <v>124</v>
      </c>
      <c r="D37" s="80">
        <v>0</v>
      </c>
      <c r="E37" s="80">
        <v>3</v>
      </c>
      <c r="F37" s="33" t="s">
        <v>168</v>
      </c>
      <c r="G37" s="1"/>
      <c r="H37" s="1"/>
      <c r="I37" s="34">
        <f t="shared" si="4"/>
        <v>160000</v>
      </c>
      <c r="J37" s="28">
        <v>160</v>
      </c>
      <c r="K37" s="35">
        <f t="shared" si="5"/>
        <v>3.2</v>
      </c>
      <c r="L37" s="36">
        <f t="shared" si="6"/>
        <v>0</v>
      </c>
    </row>
    <row r="38" spans="1:12" ht="15.75" thickBot="1">
      <c r="A38" s="80">
        <v>3</v>
      </c>
      <c r="B38" s="80" t="s">
        <v>124</v>
      </c>
      <c r="C38" s="80" t="s">
        <v>124</v>
      </c>
      <c r="D38" s="80">
        <v>0</v>
      </c>
      <c r="E38" s="80">
        <v>4</v>
      </c>
      <c r="F38" s="33" t="s">
        <v>169</v>
      </c>
      <c r="G38" s="1"/>
      <c r="H38" s="1"/>
      <c r="I38" s="34">
        <f t="shared" si="4"/>
        <v>200000</v>
      </c>
      <c r="J38" s="28">
        <v>200</v>
      </c>
      <c r="K38" s="35">
        <f t="shared" si="5"/>
        <v>4</v>
      </c>
      <c r="L38" s="36">
        <f t="shared" si="6"/>
        <v>0</v>
      </c>
    </row>
    <row r="39" spans="1:12" ht="15.75" thickBot="1">
      <c r="A39" s="80">
        <v>3</v>
      </c>
      <c r="B39" s="80" t="s">
        <v>124</v>
      </c>
      <c r="C39" s="80" t="s">
        <v>124</v>
      </c>
      <c r="D39" s="80">
        <v>0</v>
      </c>
      <c r="E39" s="80">
        <v>5</v>
      </c>
      <c r="F39" s="33" t="s">
        <v>170</v>
      </c>
      <c r="G39" s="1"/>
      <c r="H39" s="1"/>
      <c r="I39" s="34">
        <f t="shared" si="4"/>
        <v>250000</v>
      </c>
      <c r="J39" s="28">
        <v>250</v>
      </c>
      <c r="K39" s="35">
        <f t="shared" si="5"/>
        <v>5</v>
      </c>
      <c r="L39" s="36">
        <f t="shared" si="6"/>
        <v>0</v>
      </c>
    </row>
    <row r="40" spans="1:12" ht="15.75" thickBot="1">
      <c r="A40" s="80">
        <v>3</v>
      </c>
      <c r="B40" s="80" t="s">
        <v>124</v>
      </c>
      <c r="C40" s="80" t="s">
        <v>124</v>
      </c>
      <c r="D40" s="80">
        <v>2</v>
      </c>
      <c r="E40" s="80">
        <v>0</v>
      </c>
      <c r="F40" s="33" t="s">
        <v>244</v>
      </c>
      <c r="G40" s="1"/>
      <c r="H40" s="1"/>
      <c r="I40" s="34">
        <f t="shared" si="4"/>
        <v>256000</v>
      </c>
      <c r="J40" s="28">
        <v>256</v>
      </c>
      <c r="K40" s="35">
        <f t="shared" si="5"/>
        <v>5.12</v>
      </c>
      <c r="L40" s="36">
        <f t="shared" si="6"/>
        <v>0</v>
      </c>
    </row>
    <row r="41" spans="1:12" ht="15.75" thickBot="1">
      <c r="A41" s="80">
        <v>3</v>
      </c>
      <c r="B41" s="80" t="s">
        <v>124</v>
      </c>
      <c r="C41" s="80" t="s">
        <v>124</v>
      </c>
      <c r="D41" s="80">
        <v>0</v>
      </c>
      <c r="E41" s="80">
        <v>6</v>
      </c>
      <c r="F41" s="33" t="s">
        <v>171</v>
      </c>
      <c r="G41" s="1"/>
      <c r="H41" s="1"/>
      <c r="I41" s="34">
        <f t="shared" si="4"/>
        <v>320000</v>
      </c>
      <c r="J41" s="28">
        <v>320</v>
      </c>
      <c r="K41" s="35">
        <f t="shared" si="5"/>
        <v>6.4</v>
      </c>
      <c r="L41" s="36">
        <f t="shared" si="6"/>
        <v>0</v>
      </c>
    </row>
    <row r="42" spans="1:12" ht="15.75" thickBot="1">
      <c r="A42" s="80">
        <v>3</v>
      </c>
      <c r="B42" s="80" t="s">
        <v>124</v>
      </c>
      <c r="C42" s="80" t="s">
        <v>124</v>
      </c>
      <c r="D42" s="80">
        <v>0</v>
      </c>
      <c r="E42" s="80">
        <v>7</v>
      </c>
      <c r="F42" s="33" t="s">
        <v>172</v>
      </c>
      <c r="G42" s="1"/>
      <c r="H42" s="1"/>
      <c r="I42" s="34">
        <f t="shared" si="4"/>
        <v>400000</v>
      </c>
      <c r="J42" s="28">
        <v>400</v>
      </c>
      <c r="K42" s="35">
        <f aca="true" t="shared" si="7" ref="K42:K47">J42*0.01</f>
        <v>4</v>
      </c>
      <c r="L42" s="36">
        <f t="shared" si="6"/>
        <v>0</v>
      </c>
    </row>
    <row r="43" spans="1:12" ht="15.75" thickBot="1">
      <c r="A43" s="80">
        <v>3</v>
      </c>
      <c r="B43" s="80" t="s">
        <v>124</v>
      </c>
      <c r="C43" s="80" t="s">
        <v>124</v>
      </c>
      <c r="D43" s="80">
        <v>0</v>
      </c>
      <c r="E43" s="80">
        <v>8</v>
      </c>
      <c r="F43" s="33" t="s">
        <v>173</v>
      </c>
      <c r="G43" s="1"/>
      <c r="H43" s="1"/>
      <c r="I43" s="34">
        <f t="shared" si="4"/>
        <v>500000</v>
      </c>
      <c r="J43" s="28">
        <v>500</v>
      </c>
      <c r="K43" s="35">
        <f t="shared" si="7"/>
        <v>5</v>
      </c>
      <c r="L43" s="36">
        <f t="shared" si="6"/>
        <v>0</v>
      </c>
    </row>
    <row r="44" spans="1:12" ht="15.75" thickBot="1">
      <c r="A44" s="80">
        <v>3</v>
      </c>
      <c r="B44" s="80" t="s">
        <v>124</v>
      </c>
      <c r="C44" s="80" t="s">
        <v>124</v>
      </c>
      <c r="D44" s="80">
        <v>0</v>
      </c>
      <c r="E44" s="80">
        <v>9</v>
      </c>
      <c r="F44" s="33" t="s">
        <v>174</v>
      </c>
      <c r="G44" s="1"/>
      <c r="H44" s="1"/>
      <c r="I44" s="34">
        <f t="shared" si="4"/>
        <v>640000</v>
      </c>
      <c r="J44" s="28">
        <v>640</v>
      </c>
      <c r="K44" s="35">
        <f t="shared" si="7"/>
        <v>6.4</v>
      </c>
      <c r="L44" s="36">
        <f t="shared" si="6"/>
        <v>0</v>
      </c>
    </row>
    <row r="45" spans="1:12" ht="15.75" thickBot="1">
      <c r="A45" s="80">
        <v>3</v>
      </c>
      <c r="B45" s="80" t="s">
        <v>124</v>
      </c>
      <c r="C45" s="80" t="s">
        <v>124</v>
      </c>
      <c r="D45" s="80">
        <v>1</v>
      </c>
      <c r="E45" s="80">
        <v>0</v>
      </c>
      <c r="F45" s="33" t="s">
        <v>175</v>
      </c>
      <c r="G45" s="1"/>
      <c r="H45" s="1"/>
      <c r="I45" s="34">
        <f t="shared" si="4"/>
        <v>720000</v>
      </c>
      <c r="J45" s="28">
        <v>720</v>
      </c>
      <c r="K45" s="35">
        <f t="shared" si="7"/>
        <v>7.2</v>
      </c>
      <c r="L45" s="36">
        <f t="shared" si="6"/>
        <v>0</v>
      </c>
    </row>
    <row r="46" spans="1:12" ht="15.75" thickBot="1">
      <c r="A46" s="80">
        <v>3</v>
      </c>
      <c r="B46" s="80" t="s">
        <v>124</v>
      </c>
      <c r="C46" s="80" t="s">
        <v>124</v>
      </c>
      <c r="D46" s="80">
        <v>2</v>
      </c>
      <c r="E46" s="80">
        <v>1</v>
      </c>
      <c r="F46" s="33" t="s">
        <v>245</v>
      </c>
      <c r="G46" s="1"/>
      <c r="H46" s="1"/>
      <c r="I46" s="34">
        <f t="shared" si="4"/>
        <v>750000</v>
      </c>
      <c r="J46" s="28">
        <v>750</v>
      </c>
      <c r="K46" s="35">
        <f t="shared" si="7"/>
        <v>7.5</v>
      </c>
      <c r="L46" s="36">
        <f t="shared" si="6"/>
        <v>0</v>
      </c>
    </row>
    <row r="47" spans="1:12" ht="15.75" thickBot="1">
      <c r="A47" s="80">
        <v>3</v>
      </c>
      <c r="B47" s="80" t="s">
        <v>124</v>
      </c>
      <c r="C47" s="80" t="s">
        <v>124</v>
      </c>
      <c r="D47" s="80">
        <v>1</v>
      </c>
      <c r="E47" s="80">
        <v>1</v>
      </c>
      <c r="F47" s="33" t="s">
        <v>176</v>
      </c>
      <c r="G47" s="1"/>
      <c r="H47" s="1"/>
      <c r="I47" s="34">
        <f t="shared" si="4"/>
        <v>1000000</v>
      </c>
      <c r="J47" s="28">
        <v>1000</v>
      </c>
      <c r="K47" s="35">
        <f t="shared" si="7"/>
        <v>10</v>
      </c>
      <c r="L47" s="36">
        <f t="shared" si="6"/>
        <v>0</v>
      </c>
    </row>
    <row r="48" spans="1:12" ht="15.75" thickBot="1">
      <c r="A48" s="80">
        <v>3</v>
      </c>
      <c r="B48" s="80" t="s">
        <v>124</v>
      </c>
      <c r="C48" s="80" t="s">
        <v>124</v>
      </c>
      <c r="D48" s="80">
        <v>1</v>
      </c>
      <c r="E48" s="80">
        <v>2</v>
      </c>
      <c r="F48" s="33" t="s">
        <v>256</v>
      </c>
      <c r="G48" s="1"/>
      <c r="H48" s="1"/>
      <c r="I48" s="34">
        <f t="shared" si="4"/>
        <v>1500000</v>
      </c>
      <c r="J48" s="37">
        <v>1500</v>
      </c>
      <c r="K48" s="35">
        <v>15</v>
      </c>
      <c r="L48" s="36">
        <f aca="true" t="shared" si="8" ref="L48:L53">IF(K48&lt;=20,(K48*H48),(20*H48))</f>
        <v>0</v>
      </c>
    </row>
    <row r="49" spans="1:12" ht="15.75" thickBot="1">
      <c r="A49" s="80">
        <v>3</v>
      </c>
      <c r="B49" s="80" t="s">
        <v>124</v>
      </c>
      <c r="C49" s="80" t="s">
        <v>124</v>
      </c>
      <c r="D49" s="80">
        <v>1</v>
      </c>
      <c r="E49" s="80">
        <v>3</v>
      </c>
      <c r="F49" s="33" t="s">
        <v>257</v>
      </c>
      <c r="G49" s="1"/>
      <c r="H49" s="1"/>
      <c r="I49" s="34">
        <f>J49*1000</f>
        <v>2000000</v>
      </c>
      <c r="J49" s="37">
        <v>2000</v>
      </c>
      <c r="K49" s="35">
        <v>20</v>
      </c>
      <c r="L49" s="36">
        <f t="shared" si="8"/>
        <v>0</v>
      </c>
    </row>
    <row r="50" spans="1:12" ht="15.75" thickBot="1">
      <c r="A50" s="80">
        <v>3</v>
      </c>
      <c r="B50" s="80" t="s">
        <v>124</v>
      </c>
      <c r="C50" s="80" t="s">
        <v>124</v>
      </c>
      <c r="D50" s="80">
        <v>1</v>
      </c>
      <c r="E50" s="80">
        <v>4</v>
      </c>
      <c r="F50" s="33" t="s">
        <v>258</v>
      </c>
      <c r="G50" s="1"/>
      <c r="H50" s="1"/>
      <c r="I50" s="33">
        <f t="shared" si="4"/>
        <v>2500000</v>
      </c>
      <c r="J50" s="37">
        <v>2500</v>
      </c>
      <c r="K50" s="39">
        <v>20</v>
      </c>
      <c r="L50" s="36">
        <f t="shared" si="8"/>
        <v>0</v>
      </c>
    </row>
    <row r="51" spans="1:12" ht="15.75" thickBot="1">
      <c r="A51" s="80">
        <v>3</v>
      </c>
      <c r="B51" s="80" t="s">
        <v>124</v>
      </c>
      <c r="C51" s="80" t="s">
        <v>124</v>
      </c>
      <c r="D51" s="80">
        <v>1</v>
      </c>
      <c r="E51" s="80">
        <v>5</v>
      </c>
      <c r="F51" s="33" t="s">
        <v>259</v>
      </c>
      <c r="G51" s="1"/>
      <c r="H51" s="1"/>
      <c r="I51" s="38">
        <f>J51*1000</f>
        <v>3000000</v>
      </c>
      <c r="J51" s="37">
        <v>3000</v>
      </c>
      <c r="K51" s="39">
        <v>20</v>
      </c>
      <c r="L51" s="36">
        <f t="shared" si="8"/>
        <v>0</v>
      </c>
    </row>
    <row r="52" spans="1:12" ht="15.75" thickBot="1">
      <c r="A52" s="80">
        <v>3</v>
      </c>
      <c r="B52" s="80" t="s">
        <v>124</v>
      </c>
      <c r="C52" s="80" t="s">
        <v>124</v>
      </c>
      <c r="D52" s="80">
        <v>1</v>
      </c>
      <c r="E52" s="80">
        <v>6</v>
      </c>
      <c r="F52" s="38" t="s">
        <v>260</v>
      </c>
      <c r="G52" s="1"/>
      <c r="H52" s="1"/>
      <c r="I52" s="38">
        <f>J52*1000</f>
        <v>0</v>
      </c>
      <c r="J52" s="1"/>
      <c r="K52" s="39">
        <f>IF(I52&gt;399999,J52*0.01,IF(I52&gt;1,J52*0.02,(0)))</f>
        <v>0</v>
      </c>
      <c r="L52" s="36">
        <f t="shared" si="8"/>
        <v>0</v>
      </c>
    </row>
    <row r="53" spans="1:12" ht="15.75" thickBot="1">
      <c r="A53" s="80">
        <v>3</v>
      </c>
      <c r="B53" s="80" t="s">
        <v>124</v>
      </c>
      <c r="C53" s="80" t="s">
        <v>124</v>
      </c>
      <c r="D53" s="80">
        <v>1</v>
      </c>
      <c r="E53" s="80">
        <v>7</v>
      </c>
      <c r="F53" s="38" t="s">
        <v>260</v>
      </c>
      <c r="G53" s="1"/>
      <c r="H53" s="1"/>
      <c r="I53" s="38">
        <f>J53*1000</f>
        <v>0</v>
      </c>
      <c r="J53" s="1"/>
      <c r="K53" s="39">
        <f>IF(I53&gt;399999,J53*0.01,IF(I53&gt;1,J53*0.02,(0)))</f>
        <v>0</v>
      </c>
      <c r="L53" s="36">
        <f t="shared" si="8"/>
        <v>0</v>
      </c>
    </row>
    <row r="54" spans="1:12" ht="15">
      <c r="A54" s="125"/>
      <c r="B54" s="125"/>
      <c r="C54" s="125"/>
      <c r="D54" s="125"/>
      <c r="E54" s="125"/>
      <c r="F54" s="126"/>
      <c r="G54" s="127"/>
      <c r="H54" s="127"/>
      <c r="I54" s="126"/>
      <c r="J54" s="127"/>
      <c r="K54" s="128"/>
      <c r="L54" s="129"/>
    </row>
    <row r="55" spans="1:12" ht="15">
      <c r="A55" s="125"/>
      <c r="B55" s="125"/>
      <c r="C55" s="125"/>
      <c r="D55" s="125"/>
      <c r="E55" s="125"/>
      <c r="F55" s="126"/>
      <c r="G55" s="127"/>
      <c r="H55" s="127"/>
      <c r="I55" s="126"/>
      <c r="J55" s="127"/>
      <c r="K55" s="128"/>
      <c r="L55" s="129"/>
    </row>
    <row r="56" spans="1:12" ht="15">
      <c r="A56" s="125"/>
      <c r="B56" s="125"/>
      <c r="C56" s="125"/>
      <c r="D56" s="125"/>
      <c r="E56" s="125"/>
      <c r="F56" s="126"/>
      <c r="G56" s="127"/>
      <c r="H56" s="127"/>
      <c r="I56" s="126"/>
      <c r="J56" s="127"/>
      <c r="K56" s="128"/>
      <c r="L56" s="129"/>
    </row>
    <row r="57" spans="1:12" ht="15">
      <c r="A57" s="125"/>
      <c r="B57" s="125"/>
      <c r="C57" s="125"/>
      <c r="D57" s="125"/>
      <c r="E57" s="125"/>
      <c r="F57" s="126"/>
      <c r="G57" s="127"/>
      <c r="H57" s="127"/>
      <c r="I57" s="126"/>
      <c r="J57" s="127"/>
      <c r="K57" s="128"/>
      <c r="L57" s="129"/>
    </row>
    <row r="58" ht="15.75" thickBot="1"/>
    <row r="59" spans="1:12" ht="19.5" thickBot="1">
      <c r="A59" s="22" t="s">
        <v>180</v>
      </c>
      <c r="H59" s="45"/>
      <c r="I59" s="180" t="s">
        <v>27</v>
      </c>
      <c r="J59" s="181"/>
      <c r="K59" s="182"/>
      <c r="L59" s="46">
        <f>SUM(L6:L53)</f>
        <v>0</v>
      </c>
    </row>
    <row r="60" spans="1:12" ht="19.5" thickBot="1">
      <c r="A60" s="22" t="s">
        <v>180</v>
      </c>
      <c r="H60" s="45"/>
      <c r="I60" s="180" t="s">
        <v>28</v>
      </c>
      <c r="J60" s="181"/>
      <c r="K60" s="182"/>
      <c r="L60" s="46">
        <f>L59*22/100</f>
        <v>0</v>
      </c>
    </row>
    <row r="61" spans="1:12" ht="19.5" thickBot="1">
      <c r="A61" s="22" t="s">
        <v>180</v>
      </c>
      <c r="H61" s="45"/>
      <c r="I61" s="180" t="s">
        <v>29</v>
      </c>
      <c r="J61" s="181"/>
      <c r="K61" s="182"/>
      <c r="L61" s="46">
        <f>SUM(L59:L60)</f>
        <v>0</v>
      </c>
    </row>
  </sheetData>
  <sheetProtection password="F046" sheet="1"/>
  <mergeCells count="12">
    <mergeCell ref="B2:E3"/>
    <mergeCell ref="B4:E4"/>
    <mergeCell ref="H4:J4"/>
    <mergeCell ref="I5:J5"/>
    <mergeCell ref="I18:J18"/>
    <mergeCell ref="I32:J32"/>
    <mergeCell ref="I59:K59"/>
    <mergeCell ref="I60:K60"/>
    <mergeCell ref="I61:K61"/>
    <mergeCell ref="G2:L2"/>
    <mergeCell ref="G3:L3"/>
    <mergeCell ref="H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3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4.140625" style="24" customWidth="1"/>
    <col min="2" max="5" width="3.7109375" style="24" customWidth="1"/>
    <col min="6" max="6" width="62.28125" style="24" bestFit="1" customWidth="1"/>
    <col min="7" max="7" width="12.57421875" style="24" customWidth="1"/>
    <col min="8" max="8" width="18.8515625" style="24" customWidth="1"/>
    <col min="9" max="9" width="15.8515625" style="60" customWidth="1"/>
    <col min="10" max="10" width="16.00390625" style="24" customWidth="1"/>
    <col min="11" max="11" width="20.00390625" style="24" customWidth="1"/>
    <col min="12" max="12" width="11.7109375" style="24" customWidth="1"/>
    <col min="13" max="13" width="16.421875" style="24" customWidth="1"/>
    <col min="14" max="14" width="9.140625" style="24" customWidth="1"/>
    <col min="15" max="15" width="18.140625" style="24" bestFit="1" customWidth="1"/>
    <col min="16" max="16" width="16.28125" style="24" bestFit="1" customWidth="1"/>
    <col min="17" max="16384" width="9.140625" style="24" customWidth="1"/>
  </cols>
  <sheetData>
    <row r="1" spans="1:11" ht="15">
      <c r="A1" s="22">
        <v>0</v>
      </c>
      <c r="B1" s="23" t="s">
        <v>30</v>
      </c>
      <c r="C1" s="23"/>
      <c r="D1" s="23"/>
      <c r="E1" s="23"/>
      <c r="F1" s="23"/>
      <c r="G1" s="94"/>
      <c r="H1" s="194"/>
      <c r="I1" s="212"/>
      <c r="J1" s="212"/>
      <c r="K1" s="213"/>
    </row>
    <row r="2" spans="1:11" ht="14.25" customHeight="1">
      <c r="A2" s="25">
        <v>0</v>
      </c>
      <c r="B2" s="189" t="s">
        <v>179</v>
      </c>
      <c r="C2" s="189"/>
      <c r="D2" s="189"/>
      <c r="E2" s="190"/>
      <c r="F2" s="23" t="s">
        <v>31</v>
      </c>
      <c r="G2" s="183"/>
      <c r="H2" s="203"/>
      <c r="I2" s="203"/>
      <c r="J2" s="203"/>
      <c r="K2" s="204"/>
    </row>
    <row r="3" spans="1:11" ht="15">
      <c r="A3" s="26">
        <v>0</v>
      </c>
      <c r="B3" s="191"/>
      <c r="C3" s="191"/>
      <c r="D3" s="191"/>
      <c r="E3" s="192"/>
      <c r="F3" s="23" t="s">
        <v>32</v>
      </c>
      <c r="G3" s="183"/>
      <c r="H3" s="203"/>
      <c r="I3" s="203"/>
      <c r="J3" s="203"/>
      <c r="K3" s="204"/>
    </row>
    <row r="4" spans="1:11" ht="15">
      <c r="A4" s="27">
        <v>0</v>
      </c>
      <c r="B4" s="193" t="s">
        <v>38</v>
      </c>
      <c r="C4" s="193"/>
      <c r="D4" s="193"/>
      <c r="E4" s="193"/>
      <c r="F4" s="68"/>
      <c r="G4" s="218" t="s">
        <v>33</v>
      </c>
      <c r="H4" s="219"/>
      <c r="I4" s="78"/>
      <c r="J4" s="47" t="s">
        <v>34</v>
      </c>
      <c r="K4" s="68"/>
    </row>
    <row r="5" spans="1:11" ht="15">
      <c r="A5" s="22">
        <v>0</v>
      </c>
      <c r="B5" s="28"/>
      <c r="C5" s="28"/>
      <c r="D5" s="28"/>
      <c r="E5" s="28"/>
      <c r="F5" s="200" t="s">
        <v>42</v>
      </c>
      <c r="G5" s="200"/>
      <c r="H5" s="201"/>
      <c r="I5" s="202"/>
      <c r="J5" s="202"/>
      <c r="K5" s="202"/>
    </row>
    <row r="6" spans="1:11" ht="30" customHeight="1">
      <c r="A6" s="48">
        <v>0</v>
      </c>
      <c r="B6" s="28"/>
      <c r="C6" s="28"/>
      <c r="D6" s="28"/>
      <c r="E6" s="28"/>
      <c r="F6" s="33" t="s">
        <v>0</v>
      </c>
      <c r="G6" s="107"/>
      <c r="H6" s="105" t="s">
        <v>39</v>
      </c>
      <c r="I6" s="106" t="s">
        <v>40</v>
      </c>
      <c r="J6" s="49" t="s">
        <v>3</v>
      </c>
      <c r="K6" s="49" t="s">
        <v>1</v>
      </c>
    </row>
    <row r="7" spans="1:11" ht="15">
      <c r="A7" s="22">
        <v>4</v>
      </c>
      <c r="B7" s="22" t="s">
        <v>120</v>
      </c>
      <c r="C7" s="22" t="s">
        <v>120</v>
      </c>
      <c r="D7" s="22">
        <v>0</v>
      </c>
      <c r="E7" s="22">
        <v>1</v>
      </c>
      <c r="F7" s="33" t="s">
        <v>4</v>
      </c>
      <c r="G7" s="223"/>
      <c r="H7" s="4"/>
      <c r="I7" s="4"/>
      <c r="J7" s="51">
        <v>3.22</v>
      </c>
      <c r="K7" s="52">
        <f aca="true" t="shared" si="0" ref="K7:K20">I7*J7</f>
        <v>0</v>
      </c>
    </row>
    <row r="8" spans="1:11" ht="15">
      <c r="A8" s="22">
        <v>4</v>
      </c>
      <c r="B8" s="22" t="s">
        <v>120</v>
      </c>
      <c r="C8" s="22" t="s">
        <v>120</v>
      </c>
      <c r="D8" s="22">
        <v>0</v>
      </c>
      <c r="E8" s="22">
        <v>2</v>
      </c>
      <c r="F8" s="33" t="s">
        <v>5</v>
      </c>
      <c r="G8" s="221"/>
      <c r="H8" s="4"/>
      <c r="I8" s="4"/>
      <c r="J8" s="51">
        <v>3.86</v>
      </c>
      <c r="K8" s="52">
        <f t="shared" si="0"/>
        <v>0</v>
      </c>
    </row>
    <row r="9" spans="1:11" ht="15">
      <c r="A9" s="22">
        <v>4</v>
      </c>
      <c r="B9" s="22" t="s">
        <v>120</v>
      </c>
      <c r="C9" s="22" t="s">
        <v>120</v>
      </c>
      <c r="D9" s="22">
        <v>0</v>
      </c>
      <c r="E9" s="22">
        <v>3</v>
      </c>
      <c r="F9" s="33" t="s">
        <v>6</v>
      </c>
      <c r="G9" s="221"/>
      <c r="H9" s="4"/>
      <c r="I9" s="4"/>
      <c r="J9" s="51">
        <v>4.51</v>
      </c>
      <c r="K9" s="52">
        <f t="shared" si="0"/>
        <v>0</v>
      </c>
    </row>
    <row r="10" spans="1:11" ht="15">
      <c r="A10" s="22">
        <v>4</v>
      </c>
      <c r="B10" s="22" t="s">
        <v>120</v>
      </c>
      <c r="C10" s="22" t="s">
        <v>120</v>
      </c>
      <c r="D10" s="22">
        <v>0</v>
      </c>
      <c r="E10" s="22">
        <v>4</v>
      </c>
      <c r="F10" s="33" t="s">
        <v>7</v>
      </c>
      <c r="G10" s="221"/>
      <c r="H10" s="4"/>
      <c r="I10" s="4"/>
      <c r="J10" s="51">
        <v>5.15</v>
      </c>
      <c r="K10" s="52">
        <f t="shared" si="0"/>
        <v>0</v>
      </c>
    </row>
    <row r="11" spans="1:11" ht="15">
      <c r="A11" s="22">
        <v>4</v>
      </c>
      <c r="B11" s="22" t="s">
        <v>120</v>
      </c>
      <c r="C11" s="22" t="s">
        <v>120</v>
      </c>
      <c r="D11" s="22">
        <v>0</v>
      </c>
      <c r="E11" s="22">
        <v>5</v>
      </c>
      <c r="F11" s="33" t="s">
        <v>8</v>
      </c>
      <c r="G11" s="221"/>
      <c r="H11" s="4"/>
      <c r="I11" s="4"/>
      <c r="J11" s="51">
        <v>6.44</v>
      </c>
      <c r="K11" s="52">
        <f t="shared" si="0"/>
        <v>0</v>
      </c>
    </row>
    <row r="12" spans="1:11" ht="15">
      <c r="A12" s="22">
        <v>4</v>
      </c>
      <c r="B12" s="22" t="s">
        <v>120</v>
      </c>
      <c r="C12" s="22" t="s">
        <v>120</v>
      </c>
      <c r="D12" s="22">
        <v>0</v>
      </c>
      <c r="E12" s="22">
        <v>6</v>
      </c>
      <c r="F12" s="33" t="s">
        <v>9</v>
      </c>
      <c r="G12" s="221"/>
      <c r="H12" s="4"/>
      <c r="I12" s="4"/>
      <c r="J12" s="51">
        <v>9.66</v>
      </c>
      <c r="K12" s="52">
        <f t="shared" si="0"/>
        <v>0</v>
      </c>
    </row>
    <row r="13" spans="1:11" ht="15">
      <c r="A13" s="22">
        <v>4</v>
      </c>
      <c r="B13" s="22" t="s">
        <v>120</v>
      </c>
      <c r="C13" s="22" t="s">
        <v>120</v>
      </c>
      <c r="D13" s="22">
        <v>0</v>
      </c>
      <c r="E13" s="22">
        <v>7</v>
      </c>
      <c r="F13" s="33" t="s">
        <v>10</v>
      </c>
      <c r="G13" s="221"/>
      <c r="H13" s="4"/>
      <c r="I13" s="4"/>
      <c r="J13" s="51">
        <v>12.88</v>
      </c>
      <c r="K13" s="52">
        <f t="shared" si="0"/>
        <v>0</v>
      </c>
    </row>
    <row r="14" spans="1:11" ht="15">
      <c r="A14" s="22">
        <v>4</v>
      </c>
      <c r="B14" s="22" t="s">
        <v>120</v>
      </c>
      <c r="C14" s="22" t="s">
        <v>120</v>
      </c>
      <c r="D14" s="22">
        <v>0</v>
      </c>
      <c r="E14" s="22">
        <v>8</v>
      </c>
      <c r="F14" s="33" t="s">
        <v>11</v>
      </c>
      <c r="G14" s="221"/>
      <c r="H14" s="4"/>
      <c r="I14" s="4"/>
      <c r="J14" s="51">
        <v>16.1</v>
      </c>
      <c r="K14" s="52">
        <f t="shared" si="0"/>
        <v>0</v>
      </c>
    </row>
    <row r="15" spans="1:11" ht="15">
      <c r="A15" s="22">
        <v>4</v>
      </c>
      <c r="B15" s="22" t="s">
        <v>120</v>
      </c>
      <c r="C15" s="22" t="s">
        <v>120</v>
      </c>
      <c r="D15" s="22">
        <v>0</v>
      </c>
      <c r="E15" s="22">
        <v>9</v>
      </c>
      <c r="F15" s="33" t="s">
        <v>12</v>
      </c>
      <c r="G15" s="221"/>
      <c r="H15" s="4"/>
      <c r="I15" s="4"/>
      <c r="J15" s="51">
        <v>22.54</v>
      </c>
      <c r="K15" s="52">
        <f t="shared" si="0"/>
        <v>0</v>
      </c>
    </row>
    <row r="16" spans="1:11" ht="15" customHeight="1">
      <c r="A16" s="77">
        <v>4</v>
      </c>
      <c r="B16" s="77" t="s">
        <v>120</v>
      </c>
      <c r="C16" s="77" t="s">
        <v>120</v>
      </c>
      <c r="D16" s="77">
        <v>1</v>
      </c>
      <c r="E16" s="77">
        <v>0</v>
      </c>
      <c r="F16" s="103" t="s">
        <v>219</v>
      </c>
      <c r="G16" s="221"/>
      <c r="H16" s="4"/>
      <c r="I16" s="4"/>
      <c r="J16" s="89">
        <v>28.98</v>
      </c>
      <c r="K16" s="90">
        <f t="shared" si="0"/>
        <v>0</v>
      </c>
    </row>
    <row r="17" spans="1:11" ht="31.5" customHeight="1" thickBot="1">
      <c r="A17" s="80">
        <v>4</v>
      </c>
      <c r="B17" s="80" t="s">
        <v>120</v>
      </c>
      <c r="C17" s="80" t="s">
        <v>120</v>
      </c>
      <c r="D17" s="80">
        <v>1</v>
      </c>
      <c r="E17" s="80">
        <v>1</v>
      </c>
      <c r="F17" s="104" t="s">
        <v>220</v>
      </c>
      <c r="G17" s="224"/>
      <c r="H17" s="4"/>
      <c r="I17" s="82"/>
      <c r="J17" s="83">
        <v>32.2</v>
      </c>
      <c r="K17" s="84">
        <f t="shared" si="0"/>
        <v>0</v>
      </c>
    </row>
    <row r="18" spans="1:11" ht="16.5" thickBot="1" thickTop="1">
      <c r="A18" s="80">
        <v>4</v>
      </c>
      <c r="B18" s="80" t="s">
        <v>120</v>
      </c>
      <c r="C18" s="80" t="s">
        <v>120</v>
      </c>
      <c r="D18" s="80">
        <v>1</v>
      </c>
      <c r="E18" s="80">
        <v>2</v>
      </c>
      <c r="F18" s="38" t="s">
        <v>246</v>
      </c>
      <c r="G18" s="113"/>
      <c r="H18" s="4"/>
      <c r="I18" s="82"/>
      <c r="J18" s="83">
        <f>IF(G18&gt;=700,IF(G18&gt;=900,IF(G18&gt;=1100,IF(G18&gt;=1300,IF(G18&gt;=1500,IF(G18&gt;=1700,IF(G18&gt;=1900,IF(G18&gt;=2100,0,51.52),48.76),46),43.24),40.48),37.72),34.96),IF(G18&gt;=500,32.2,0))</f>
        <v>0</v>
      </c>
      <c r="K18" s="84">
        <f t="shared" si="0"/>
        <v>0</v>
      </c>
    </row>
    <row r="19" spans="1:11" ht="16.5" thickBot="1" thickTop="1">
      <c r="A19" s="80">
        <v>4</v>
      </c>
      <c r="B19" s="80" t="s">
        <v>120</v>
      </c>
      <c r="C19" s="80" t="s">
        <v>120</v>
      </c>
      <c r="D19" s="80">
        <v>1</v>
      </c>
      <c r="E19" s="80">
        <v>3</v>
      </c>
      <c r="F19" s="38" t="s">
        <v>246</v>
      </c>
      <c r="G19" s="113"/>
      <c r="H19" s="4"/>
      <c r="I19" s="82"/>
      <c r="J19" s="83">
        <f>IF(G19&gt;=700,IF(G19&gt;=900,IF(G19&gt;=1100,IF(G19&gt;=1300,IF(G19&gt;=1500,IF(G19&gt;=1700,IF(G19&gt;=1900,IF(G19&gt;=2100,0,51.52),48.76),46),43.24),40.48),37.72),34.96),IF(G19&gt;=500,32.2,0))</f>
        <v>0</v>
      </c>
      <c r="K19" s="84">
        <f t="shared" si="0"/>
        <v>0</v>
      </c>
    </row>
    <row r="20" spans="1:11" ht="16.5" thickBot="1" thickTop="1">
      <c r="A20" s="80">
        <v>4</v>
      </c>
      <c r="B20" s="80" t="s">
        <v>120</v>
      </c>
      <c r="C20" s="80" t="s">
        <v>120</v>
      </c>
      <c r="D20" s="80">
        <v>1</v>
      </c>
      <c r="E20" s="80">
        <v>4</v>
      </c>
      <c r="F20" s="38" t="s">
        <v>250</v>
      </c>
      <c r="G20" s="113"/>
      <c r="H20" s="4"/>
      <c r="I20" s="82"/>
      <c r="J20" s="83">
        <f>IF(G20&gt;=2100,IF(G20&gt;=2300,IF(G20&gt;=2500,IF(G20&gt;=2700,IF(G20&gt;=2900,IF(G20&gt;=3100,IF(G20&gt;=3300,IF(G20&gt;=3500,0,70.84),68.08),65.32),62.56),59.8),57.04),54.28),IF(G20&gt;=1900,51.52,0))</f>
        <v>0</v>
      </c>
      <c r="K20" s="84">
        <f t="shared" si="0"/>
        <v>0</v>
      </c>
    </row>
    <row r="21" spans="1:11" ht="15.75" thickTop="1">
      <c r="A21" s="28"/>
      <c r="B21" s="28"/>
      <c r="C21" s="28"/>
      <c r="D21" s="28"/>
      <c r="E21" s="28"/>
      <c r="F21" s="53" t="s">
        <v>13</v>
      </c>
      <c r="G21" s="108"/>
      <c r="H21" s="109"/>
      <c r="I21" s="50"/>
      <c r="J21" s="50"/>
      <c r="K21" s="52">
        <f>SUM(K7:K20)</f>
        <v>0</v>
      </c>
    </row>
    <row r="22" spans="1:11" ht="15">
      <c r="A22" s="54"/>
      <c r="B22" s="54"/>
      <c r="C22" s="54"/>
      <c r="D22" s="54"/>
      <c r="E22" s="54"/>
      <c r="F22" s="55"/>
      <c r="G22" s="55"/>
      <c r="H22" s="55"/>
      <c r="I22" s="56"/>
      <c r="J22" s="54"/>
      <c r="K22" s="57"/>
    </row>
    <row r="23" spans="1:11" ht="15">
      <c r="A23" s="28"/>
      <c r="B23" s="28"/>
      <c r="C23" s="28"/>
      <c r="D23" s="28"/>
      <c r="E23" s="28"/>
      <c r="F23" s="200" t="s">
        <v>43</v>
      </c>
      <c r="G23" s="200"/>
      <c r="H23" s="201"/>
      <c r="I23" s="202"/>
      <c r="J23" s="202"/>
      <c r="K23" s="202"/>
    </row>
    <row r="24" spans="1:11" ht="30">
      <c r="A24" s="28"/>
      <c r="B24" s="28"/>
      <c r="C24" s="28"/>
      <c r="D24" s="28"/>
      <c r="E24" s="28"/>
      <c r="F24" s="34" t="s">
        <v>0</v>
      </c>
      <c r="G24" s="34"/>
      <c r="H24" s="49" t="s">
        <v>39</v>
      </c>
      <c r="I24" s="49" t="s">
        <v>40</v>
      </c>
      <c r="J24" s="49" t="s">
        <v>3</v>
      </c>
      <c r="K24" s="49" t="s">
        <v>1</v>
      </c>
    </row>
    <row r="25" spans="1:11" ht="15">
      <c r="A25" s="22">
        <v>4</v>
      </c>
      <c r="B25" s="22" t="s">
        <v>121</v>
      </c>
      <c r="C25" s="22" t="s">
        <v>121</v>
      </c>
      <c r="D25" s="22">
        <v>0</v>
      </c>
      <c r="E25" s="22">
        <v>1</v>
      </c>
      <c r="F25" s="34" t="s">
        <v>14</v>
      </c>
      <c r="G25" s="220"/>
      <c r="H25" s="115"/>
      <c r="I25" s="4"/>
      <c r="J25" s="51">
        <v>0.64</v>
      </c>
      <c r="K25" s="52">
        <f aca="true" t="shared" si="1" ref="K25:K35">I25*J25</f>
        <v>0</v>
      </c>
    </row>
    <row r="26" spans="1:11" ht="15">
      <c r="A26" s="22">
        <v>4</v>
      </c>
      <c r="B26" s="22" t="s">
        <v>121</v>
      </c>
      <c r="C26" s="22" t="s">
        <v>121</v>
      </c>
      <c r="D26" s="22">
        <v>0</v>
      </c>
      <c r="E26" s="22">
        <v>2</v>
      </c>
      <c r="F26" s="34" t="s">
        <v>15</v>
      </c>
      <c r="G26" s="221"/>
      <c r="H26" s="115"/>
      <c r="I26" s="4"/>
      <c r="J26" s="51">
        <v>2.21</v>
      </c>
      <c r="K26" s="52">
        <f t="shared" si="1"/>
        <v>0</v>
      </c>
    </row>
    <row r="27" spans="1:11" ht="15">
      <c r="A27" s="22">
        <v>4</v>
      </c>
      <c r="B27" s="22" t="s">
        <v>121</v>
      </c>
      <c r="C27" s="22" t="s">
        <v>121</v>
      </c>
      <c r="D27" s="22">
        <v>0</v>
      </c>
      <c r="E27" s="22">
        <v>3</v>
      </c>
      <c r="F27" s="79" t="s">
        <v>16</v>
      </c>
      <c r="G27" s="221"/>
      <c r="H27" s="115"/>
      <c r="I27" s="4"/>
      <c r="J27" s="51">
        <v>3.22</v>
      </c>
      <c r="K27" s="52">
        <f t="shared" si="1"/>
        <v>0</v>
      </c>
    </row>
    <row r="28" spans="1:11" ht="15">
      <c r="A28" s="22">
        <v>4</v>
      </c>
      <c r="B28" s="22" t="s">
        <v>121</v>
      </c>
      <c r="C28" s="22" t="s">
        <v>121</v>
      </c>
      <c r="D28" s="22">
        <v>0</v>
      </c>
      <c r="E28" s="22">
        <v>4</v>
      </c>
      <c r="F28" s="34" t="s">
        <v>5</v>
      </c>
      <c r="G28" s="221"/>
      <c r="H28" s="115"/>
      <c r="I28" s="4"/>
      <c r="J28" s="51">
        <v>5.15</v>
      </c>
      <c r="K28" s="52">
        <f t="shared" si="1"/>
        <v>0</v>
      </c>
    </row>
    <row r="29" spans="1:11" ht="15">
      <c r="A29" s="22">
        <v>4</v>
      </c>
      <c r="B29" s="22" t="s">
        <v>121</v>
      </c>
      <c r="C29" s="22" t="s">
        <v>121</v>
      </c>
      <c r="D29" s="22">
        <v>0</v>
      </c>
      <c r="E29" s="22">
        <v>5</v>
      </c>
      <c r="F29" s="34" t="s">
        <v>6</v>
      </c>
      <c r="G29" s="221"/>
      <c r="H29" s="115"/>
      <c r="I29" s="4"/>
      <c r="J29" s="51">
        <v>6.44</v>
      </c>
      <c r="K29" s="52">
        <f t="shared" si="1"/>
        <v>0</v>
      </c>
    </row>
    <row r="30" spans="1:11" ht="15">
      <c r="A30" s="22">
        <v>4</v>
      </c>
      <c r="B30" s="22" t="s">
        <v>121</v>
      </c>
      <c r="C30" s="22" t="s">
        <v>121</v>
      </c>
      <c r="D30" s="22">
        <v>0</v>
      </c>
      <c r="E30" s="22">
        <v>6</v>
      </c>
      <c r="F30" s="34" t="s">
        <v>17</v>
      </c>
      <c r="G30" s="221"/>
      <c r="H30" s="115"/>
      <c r="I30" s="4"/>
      <c r="J30" s="51">
        <v>7.73</v>
      </c>
      <c r="K30" s="52">
        <f t="shared" si="1"/>
        <v>0</v>
      </c>
    </row>
    <row r="31" spans="1:11" ht="15">
      <c r="A31" s="77">
        <v>4</v>
      </c>
      <c r="B31" s="77" t="s">
        <v>121</v>
      </c>
      <c r="C31" s="77" t="s">
        <v>121</v>
      </c>
      <c r="D31" s="77">
        <v>0</v>
      </c>
      <c r="E31" s="77">
        <v>7</v>
      </c>
      <c r="F31" s="79" t="s">
        <v>221</v>
      </c>
      <c r="G31" s="221"/>
      <c r="H31" s="115"/>
      <c r="I31" s="4"/>
      <c r="J31" s="89">
        <v>9.66</v>
      </c>
      <c r="K31" s="90">
        <f t="shared" si="1"/>
        <v>0</v>
      </c>
    </row>
    <row r="32" spans="1:11" s="85" customFormat="1" ht="30.75" thickBot="1">
      <c r="A32" s="80">
        <v>4</v>
      </c>
      <c r="B32" s="80" t="s">
        <v>121</v>
      </c>
      <c r="C32" s="80" t="s">
        <v>121</v>
      </c>
      <c r="D32" s="80">
        <v>0</v>
      </c>
      <c r="E32" s="80">
        <v>8</v>
      </c>
      <c r="F32" s="104" t="s">
        <v>222</v>
      </c>
      <c r="G32" s="222"/>
      <c r="H32" s="116"/>
      <c r="I32" s="82"/>
      <c r="J32" s="83">
        <v>12.88</v>
      </c>
      <c r="K32" s="84">
        <f t="shared" si="1"/>
        <v>0</v>
      </c>
    </row>
    <row r="33" spans="1:11" s="85" customFormat="1" ht="16.5" thickBot="1" thickTop="1">
      <c r="A33" s="80">
        <v>4</v>
      </c>
      <c r="B33" s="80" t="s">
        <v>121</v>
      </c>
      <c r="C33" s="80" t="s">
        <v>121</v>
      </c>
      <c r="D33" s="80">
        <v>0</v>
      </c>
      <c r="E33" s="80">
        <v>9</v>
      </c>
      <c r="F33" s="81" t="s">
        <v>247</v>
      </c>
      <c r="G33" s="114"/>
      <c r="H33" s="116"/>
      <c r="I33" s="82"/>
      <c r="J33" s="83">
        <f>IF(G33&gt;=40,IF(G33&gt;=50,IF(G33&gt;=60,IF(G33&gt;=70,IF(G33&gt;=80,IF(G33&gt;=90,IF(G33&gt;=100,IF(G33&gt;=110,0,32.2),29.44),26.68),23.92),21.16),18.4),15.64),IF(G33&gt;=30,12.88,0))</f>
        <v>0</v>
      </c>
      <c r="K33" s="84">
        <f t="shared" si="1"/>
        <v>0</v>
      </c>
    </row>
    <row r="34" spans="1:11" s="85" customFormat="1" ht="16.5" thickBot="1" thickTop="1">
      <c r="A34" s="80">
        <v>4</v>
      </c>
      <c r="B34" s="80" t="s">
        <v>121</v>
      </c>
      <c r="C34" s="80" t="s">
        <v>121</v>
      </c>
      <c r="D34" s="80">
        <v>1</v>
      </c>
      <c r="E34" s="80">
        <v>0</v>
      </c>
      <c r="F34" s="81" t="s">
        <v>248</v>
      </c>
      <c r="G34" s="114"/>
      <c r="H34" s="116"/>
      <c r="I34" s="82"/>
      <c r="J34" s="83">
        <f>IF(G34&gt;=110,IF(G34&gt;=120,IF(G34&gt;=130,IF(G34&gt;=140,IF(G34&gt;=150,IF(G34&gt;=160,IF(G34&gt;=170,IF(G34&gt;=180,0,51.52),48.76),46),43.24),40.48),37.72),34.96),IF(G34&gt;=100,32.2,0))</f>
        <v>0</v>
      </c>
      <c r="K34" s="84">
        <f t="shared" si="1"/>
        <v>0</v>
      </c>
    </row>
    <row r="35" spans="1:11" s="85" customFormat="1" ht="16.5" thickBot="1" thickTop="1">
      <c r="A35" s="80">
        <v>4</v>
      </c>
      <c r="B35" s="80" t="s">
        <v>121</v>
      </c>
      <c r="C35" s="80" t="s">
        <v>121</v>
      </c>
      <c r="D35" s="80">
        <v>1</v>
      </c>
      <c r="E35" s="80">
        <v>1</v>
      </c>
      <c r="F35" s="81" t="s">
        <v>249</v>
      </c>
      <c r="G35" s="114"/>
      <c r="H35" s="116"/>
      <c r="I35" s="82"/>
      <c r="J35" s="83">
        <f>IF(G35&gt;=180,IF(G35&gt;=190,IF(G35&gt;=200,IF(G35&gt;=210,IF(G35&gt;=220,IF(G35&gt;=230,IF(G35&gt;=240,IF(G35&gt;=250,73.6,70.84),68.08),65.32),62.56),59.8),57.04),54.28),IF(G35&gt;=170,51.52,0))</f>
        <v>0</v>
      </c>
      <c r="K35" s="84">
        <f t="shared" si="1"/>
        <v>0</v>
      </c>
    </row>
    <row r="36" spans="1:11" ht="15.75" thickTop="1">
      <c r="A36" s="28"/>
      <c r="B36" s="28"/>
      <c r="C36" s="28"/>
      <c r="D36" s="28"/>
      <c r="E36" s="28"/>
      <c r="F36" s="34" t="s">
        <v>13</v>
      </c>
      <c r="G36" s="34"/>
      <c r="H36" s="34"/>
      <c r="I36" s="50"/>
      <c r="J36" s="51"/>
      <c r="K36" s="52">
        <f>SUM(K25:K35)</f>
        <v>0</v>
      </c>
    </row>
    <row r="37" spans="1:11" ht="15">
      <c r="A37" s="54"/>
      <c r="B37" s="54"/>
      <c r="C37" s="54"/>
      <c r="D37" s="54"/>
      <c r="E37" s="54"/>
      <c r="F37" s="55"/>
      <c r="G37" s="55"/>
      <c r="H37" s="55"/>
      <c r="I37" s="56"/>
      <c r="J37" s="54"/>
      <c r="K37" s="57"/>
    </row>
    <row r="38" spans="1:11" ht="15">
      <c r="A38" s="28"/>
      <c r="B38" s="28"/>
      <c r="C38" s="28"/>
      <c r="D38" s="28"/>
      <c r="E38" s="28"/>
      <c r="F38" s="200" t="s">
        <v>44</v>
      </c>
      <c r="G38" s="200"/>
      <c r="H38" s="201"/>
      <c r="I38" s="202"/>
      <c r="J38" s="202"/>
      <c r="K38" s="202"/>
    </row>
    <row r="39" spans="1:11" ht="30">
      <c r="A39" s="28"/>
      <c r="B39" s="28"/>
      <c r="C39" s="28"/>
      <c r="D39" s="28"/>
      <c r="E39" s="28"/>
      <c r="F39" s="34" t="s">
        <v>0</v>
      </c>
      <c r="G39" s="110" t="s">
        <v>225</v>
      </c>
      <c r="H39" s="49" t="s">
        <v>39</v>
      </c>
      <c r="I39" s="49" t="s">
        <v>40</v>
      </c>
      <c r="J39" s="49" t="s">
        <v>3</v>
      </c>
      <c r="K39" s="49" t="s">
        <v>1</v>
      </c>
    </row>
    <row r="40" spans="1:11" ht="15">
      <c r="A40" s="22">
        <v>4</v>
      </c>
      <c r="B40" s="22" t="s">
        <v>124</v>
      </c>
      <c r="C40" s="22" t="s">
        <v>124</v>
      </c>
      <c r="D40" s="22">
        <v>0</v>
      </c>
      <c r="E40" s="22">
        <v>1</v>
      </c>
      <c r="F40" s="33" t="s">
        <v>18</v>
      </c>
      <c r="G40" s="207"/>
      <c r="H40" s="117"/>
      <c r="I40" s="4"/>
      <c r="J40" s="51">
        <v>4.51</v>
      </c>
      <c r="K40" s="58">
        <f aca="true" t="shared" si="2" ref="K40:K58">I40*J40</f>
        <v>0</v>
      </c>
    </row>
    <row r="41" spans="1:11" ht="15">
      <c r="A41" s="22">
        <v>4</v>
      </c>
      <c r="B41" s="22" t="s">
        <v>124</v>
      </c>
      <c r="C41" s="22" t="s">
        <v>124</v>
      </c>
      <c r="D41" s="22">
        <v>0</v>
      </c>
      <c r="E41" s="22">
        <v>2</v>
      </c>
      <c r="F41" s="33" t="s">
        <v>10</v>
      </c>
      <c r="G41" s="208"/>
      <c r="H41" s="117"/>
      <c r="I41" s="4"/>
      <c r="J41" s="51">
        <v>6.44</v>
      </c>
      <c r="K41" s="58">
        <f t="shared" si="2"/>
        <v>0</v>
      </c>
    </row>
    <row r="42" spans="1:11" ht="15">
      <c r="A42" s="22">
        <v>4</v>
      </c>
      <c r="B42" s="22" t="s">
        <v>124</v>
      </c>
      <c r="C42" s="22" t="s">
        <v>124</v>
      </c>
      <c r="D42" s="22">
        <v>0</v>
      </c>
      <c r="E42" s="22">
        <v>3</v>
      </c>
      <c r="F42" s="33" t="s">
        <v>11</v>
      </c>
      <c r="G42" s="208"/>
      <c r="H42" s="117"/>
      <c r="I42" s="4"/>
      <c r="J42" s="51">
        <v>7.73</v>
      </c>
      <c r="K42" s="58">
        <f t="shared" si="2"/>
        <v>0</v>
      </c>
    </row>
    <row r="43" spans="1:11" ht="15">
      <c r="A43" s="22">
        <v>4</v>
      </c>
      <c r="B43" s="22" t="s">
        <v>124</v>
      </c>
      <c r="C43" s="22" t="s">
        <v>124</v>
      </c>
      <c r="D43" s="22">
        <v>0</v>
      </c>
      <c r="E43" s="22">
        <v>4</v>
      </c>
      <c r="F43" s="33" t="s">
        <v>12</v>
      </c>
      <c r="G43" s="208"/>
      <c r="H43" s="117"/>
      <c r="I43" s="4"/>
      <c r="J43" s="51">
        <v>10.42</v>
      </c>
      <c r="K43" s="58">
        <f t="shared" si="2"/>
        <v>0</v>
      </c>
    </row>
    <row r="44" spans="1:11" ht="15" customHeight="1">
      <c r="A44" s="77">
        <v>4</v>
      </c>
      <c r="B44" s="77" t="s">
        <v>124</v>
      </c>
      <c r="C44" s="77" t="s">
        <v>124</v>
      </c>
      <c r="D44" s="77">
        <v>0</v>
      </c>
      <c r="E44" s="77">
        <v>5</v>
      </c>
      <c r="F44" s="123" t="s">
        <v>219</v>
      </c>
      <c r="G44" s="208"/>
      <c r="H44" s="119"/>
      <c r="I44" s="5"/>
      <c r="J44" s="91">
        <v>12.88</v>
      </c>
      <c r="K44" s="92">
        <f t="shared" si="2"/>
        <v>0</v>
      </c>
    </row>
    <row r="45" spans="1:11" s="85" customFormat="1" ht="30">
      <c r="A45" s="80">
        <v>4</v>
      </c>
      <c r="B45" s="80" t="s">
        <v>124</v>
      </c>
      <c r="C45" s="80" t="s">
        <v>124</v>
      </c>
      <c r="D45" s="80">
        <v>0</v>
      </c>
      <c r="E45" s="80">
        <v>6</v>
      </c>
      <c r="F45" s="104" t="s">
        <v>220</v>
      </c>
      <c r="G45" s="208"/>
      <c r="H45" s="120"/>
      <c r="I45" s="86"/>
      <c r="J45" s="87">
        <v>14.81</v>
      </c>
      <c r="K45" s="88">
        <f t="shared" si="2"/>
        <v>0</v>
      </c>
    </row>
    <row r="46" spans="1:11" s="85" customFormat="1" ht="15">
      <c r="A46" s="80">
        <v>4</v>
      </c>
      <c r="B46" s="80" t="s">
        <v>124</v>
      </c>
      <c r="C46" s="80" t="s">
        <v>124</v>
      </c>
      <c r="D46" s="80">
        <v>0</v>
      </c>
      <c r="E46" s="80">
        <v>7</v>
      </c>
      <c r="F46" s="123" t="s">
        <v>226</v>
      </c>
      <c r="G46" s="209"/>
      <c r="H46" s="120"/>
      <c r="I46" s="86"/>
      <c r="J46" s="87">
        <f>J45+1.84</f>
        <v>16.650000000000002</v>
      </c>
      <c r="K46" s="88">
        <f t="shared" si="2"/>
        <v>0</v>
      </c>
    </row>
    <row r="47" spans="1:11" s="85" customFormat="1" ht="15">
      <c r="A47" s="80">
        <v>4</v>
      </c>
      <c r="B47" s="80" t="s">
        <v>124</v>
      </c>
      <c r="C47" s="80" t="s">
        <v>124</v>
      </c>
      <c r="D47" s="80">
        <v>0</v>
      </c>
      <c r="E47" s="80">
        <v>8</v>
      </c>
      <c r="F47" s="123" t="s">
        <v>227</v>
      </c>
      <c r="G47" s="209"/>
      <c r="H47" s="120"/>
      <c r="I47" s="86"/>
      <c r="J47" s="87">
        <f aca="true" t="shared" si="3" ref="J47:J56">J46+1.84</f>
        <v>18.490000000000002</v>
      </c>
      <c r="K47" s="88">
        <f t="shared" si="2"/>
        <v>0</v>
      </c>
    </row>
    <row r="48" spans="1:11" s="85" customFormat="1" ht="15">
      <c r="A48" s="80">
        <v>4</v>
      </c>
      <c r="B48" s="80" t="s">
        <v>124</v>
      </c>
      <c r="C48" s="80" t="s">
        <v>124</v>
      </c>
      <c r="D48" s="80">
        <v>0</v>
      </c>
      <c r="E48" s="80">
        <v>9</v>
      </c>
      <c r="F48" s="123" t="s">
        <v>228</v>
      </c>
      <c r="G48" s="209"/>
      <c r="H48" s="120"/>
      <c r="I48" s="86"/>
      <c r="J48" s="87">
        <f t="shared" si="3"/>
        <v>20.330000000000002</v>
      </c>
      <c r="K48" s="88">
        <f t="shared" si="2"/>
        <v>0</v>
      </c>
    </row>
    <row r="49" spans="1:11" s="85" customFormat="1" ht="15">
      <c r="A49" s="80">
        <v>4</v>
      </c>
      <c r="B49" s="80" t="s">
        <v>124</v>
      </c>
      <c r="C49" s="80" t="s">
        <v>124</v>
      </c>
      <c r="D49" s="80">
        <v>1</v>
      </c>
      <c r="E49" s="80">
        <v>0</v>
      </c>
      <c r="F49" s="123" t="s">
        <v>229</v>
      </c>
      <c r="G49" s="209"/>
      <c r="H49" s="120"/>
      <c r="I49" s="86"/>
      <c r="J49" s="87">
        <f t="shared" si="3"/>
        <v>22.17</v>
      </c>
      <c r="K49" s="88">
        <f t="shared" si="2"/>
        <v>0</v>
      </c>
    </row>
    <row r="50" spans="1:11" s="85" customFormat="1" ht="15">
      <c r="A50" s="80">
        <v>4</v>
      </c>
      <c r="B50" s="80" t="s">
        <v>124</v>
      </c>
      <c r="C50" s="80" t="s">
        <v>124</v>
      </c>
      <c r="D50" s="80">
        <v>1</v>
      </c>
      <c r="E50" s="80">
        <v>1</v>
      </c>
      <c r="F50" s="123" t="s">
        <v>230</v>
      </c>
      <c r="G50" s="209"/>
      <c r="H50" s="120"/>
      <c r="I50" s="86"/>
      <c r="J50" s="87">
        <f t="shared" si="3"/>
        <v>24.01</v>
      </c>
      <c r="K50" s="88">
        <f t="shared" si="2"/>
        <v>0</v>
      </c>
    </row>
    <row r="51" spans="1:11" s="85" customFormat="1" ht="15">
      <c r="A51" s="80">
        <v>4</v>
      </c>
      <c r="B51" s="80" t="s">
        <v>124</v>
      </c>
      <c r="C51" s="80" t="s">
        <v>124</v>
      </c>
      <c r="D51" s="80">
        <v>1</v>
      </c>
      <c r="E51" s="80">
        <v>2</v>
      </c>
      <c r="F51" s="123" t="s">
        <v>231</v>
      </c>
      <c r="G51" s="209"/>
      <c r="H51" s="120"/>
      <c r="I51" s="86"/>
      <c r="J51" s="87">
        <f t="shared" si="3"/>
        <v>25.85</v>
      </c>
      <c r="K51" s="88">
        <f t="shared" si="2"/>
        <v>0</v>
      </c>
    </row>
    <row r="52" spans="1:11" s="85" customFormat="1" ht="15">
      <c r="A52" s="80">
        <v>4</v>
      </c>
      <c r="B52" s="80" t="s">
        <v>124</v>
      </c>
      <c r="C52" s="80" t="s">
        <v>124</v>
      </c>
      <c r="D52" s="80">
        <v>1</v>
      </c>
      <c r="E52" s="80">
        <v>3</v>
      </c>
      <c r="F52" s="123" t="s">
        <v>232</v>
      </c>
      <c r="G52" s="209"/>
      <c r="H52" s="120"/>
      <c r="I52" s="86"/>
      <c r="J52" s="87">
        <f t="shared" si="3"/>
        <v>27.69</v>
      </c>
      <c r="K52" s="88">
        <f t="shared" si="2"/>
        <v>0</v>
      </c>
    </row>
    <row r="53" spans="1:11" s="85" customFormat="1" ht="15">
      <c r="A53" s="80">
        <v>4</v>
      </c>
      <c r="B53" s="80" t="s">
        <v>124</v>
      </c>
      <c r="C53" s="80" t="s">
        <v>124</v>
      </c>
      <c r="D53" s="80">
        <v>1</v>
      </c>
      <c r="E53" s="80">
        <v>4</v>
      </c>
      <c r="F53" s="123" t="s">
        <v>237</v>
      </c>
      <c r="G53" s="209"/>
      <c r="H53" s="120"/>
      <c r="I53" s="86"/>
      <c r="J53" s="87">
        <f t="shared" si="3"/>
        <v>29.53</v>
      </c>
      <c r="K53" s="88">
        <f t="shared" si="2"/>
        <v>0</v>
      </c>
    </row>
    <row r="54" spans="1:11" s="85" customFormat="1" ht="15">
      <c r="A54" s="80">
        <v>4</v>
      </c>
      <c r="B54" s="80" t="s">
        <v>124</v>
      </c>
      <c r="C54" s="80" t="s">
        <v>124</v>
      </c>
      <c r="D54" s="80">
        <v>1</v>
      </c>
      <c r="E54" s="80">
        <v>5</v>
      </c>
      <c r="F54" s="123" t="s">
        <v>238</v>
      </c>
      <c r="G54" s="209"/>
      <c r="H54" s="120"/>
      <c r="I54" s="86"/>
      <c r="J54" s="87">
        <f t="shared" si="3"/>
        <v>31.37</v>
      </c>
      <c r="K54" s="88">
        <f t="shared" si="2"/>
        <v>0</v>
      </c>
    </row>
    <row r="55" spans="1:11" s="85" customFormat="1" ht="15">
      <c r="A55" s="80">
        <v>4</v>
      </c>
      <c r="B55" s="80" t="s">
        <v>124</v>
      </c>
      <c r="C55" s="80" t="s">
        <v>124</v>
      </c>
      <c r="D55" s="80">
        <v>1</v>
      </c>
      <c r="E55" s="80">
        <v>6</v>
      </c>
      <c r="F55" s="123" t="s">
        <v>239</v>
      </c>
      <c r="G55" s="209"/>
      <c r="H55" s="120"/>
      <c r="I55" s="86"/>
      <c r="J55" s="87">
        <f t="shared" si="3"/>
        <v>33.21</v>
      </c>
      <c r="K55" s="88">
        <f t="shared" si="2"/>
        <v>0</v>
      </c>
    </row>
    <row r="56" spans="1:11" s="85" customFormat="1" ht="15">
      <c r="A56" s="80">
        <v>4</v>
      </c>
      <c r="B56" s="80" t="s">
        <v>124</v>
      </c>
      <c r="C56" s="80" t="s">
        <v>124</v>
      </c>
      <c r="D56" s="80">
        <v>1</v>
      </c>
      <c r="E56" s="80">
        <v>7</v>
      </c>
      <c r="F56" s="123" t="s">
        <v>240</v>
      </c>
      <c r="G56" s="209"/>
      <c r="H56" s="120"/>
      <c r="I56" s="86"/>
      <c r="J56" s="87">
        <f t="shared" si="3"/>
        <v>35.050000000000004</v>
      </c>
      <c r="K56" s="88">
        <f t="shared" si="2"/>
        <v>0</v>
      </c>
    </row>
    <row r="57" spans="1:11" s="85" customFormat="1" ht="15.75" thickBot="1">
      <c r="A57" s="80">
        <v>4</v>
      </c>
      <c r="B57" s="80" t="s">
        <v>124</v>
      </c>
      <c r="C57" s="80" t="s">
        <v>124</v>
      </c>
      <c r="D57" s="80">
        <v>1</v>
      </c>
      <c r="E57" s="80">
        <v>8</v>
      </c>
      <c r="F57" s="123" t="s">
        <v>241</v>
      </c>
      <c r="G57" s="210"/>
      <c r="H57" s="120"/>
      <c r="I57" s="86"/>
      <c r="J57" s="87">
        <f>J56+1.84</f>
        <v>36.89000000000001</v>
      </c>
      <c r="K57" s="88">
        <f t="shared" si="2"/>
        <v>0</v>
      </c>
    </row>
    <row r="58" spans="1:11" s="85" customFormat="1" ht="15.75" thickBot="1">
      <c r="A58" s="80">
        <v>4</v>
      </c>
      <c r="B58" s="80" t="s">
        <v>124</v>
      </c>
      <c r="C58" s="80" t="s">
        <v>124</v>
      </c>
      <c r="D58" s="80">
        <v>1</v>
      </c>
      <c r="E58" s="80">
        <v>9</v>
      </c>
      <c r="F58" s="111" t="s">
        <v>251</v>
      </c>
      <c r="G58" s="124"/>
      <c r="H58" s="120"/>
      <c r="I58" s="86"/>
      <c r="J58" s="83">
        <f>IF(G58&gt;=3100,IF(G58&gt;=3300,IF(G58&gt;=3500,IF(G58&gt;=3700,IF(G58&gt;=3900,IF(G58&gt;=4100,IF(G58&gt;=4300,IF(G58&gt;=4500,0,49.77),47.93),46.09),44.25),42.41),40.57),38.73),IF(G58&gt;3100,36.89,0))</f>
        <v>0</v>
      </c>
      <c r="K58" s="88">
        <f t="shared" si="2"/>
        <v>0</v>
      </c>
    </row>
    <row r="59" spans="1:11" ht="15">
      <c r="A59" s="28"/>
      <c r="B59" s="28"/>
      <c r="C59" s="28"/>
      <c r="D59" s="28"/>
      <c r="E59" s="28"/>
      <c r="F59" s="53" t="s">
        <v>13</v>
      </c>
      <c r="G59" s="112"/>
      <c r="H59" s="53"/>
      <c r="I59" s="50"/>
      <c r="J59" s="50"/>
      <c r="K59" s="52">
        <f>SUM(K40:K58)</f>
        <v>0</v>
      </c>
    </row>
    <row r="60" spans="1:11" ht="15">
      <c r="A60" s="54"/>
      <c r="B60" s="54"/>
      <c r="C60" s="54"/>
      <c r="D60" s="54"/>
      <c r="E60" s="54"/>
      <c r="F60" s="55"/>
      <c r="G60" s="55"/>
      <c r="H60" s="55"/>
      <c r="I60" s="56"/>
      <c r="J60" s="54"/>
      <c r="K60" s="57"/>
    </row>
    <row r="61" spans="1:11" ht="15">
      <c r="A61" s="28"/>
      <c r="B61" s="28"/>
      <c r="C61" s="28"/>
      <c r="D61" s="28"/>
      <c r="E61" s="28"/>
      <c r="F61" s="200" t="s">
        <v>45</v>
      </c>
      <c r="G61" s="200"/>
      <c r="H61" s="201"/>
      <c r="I61" s="202"/>
      <c r="J61" s="202"/>
      <c r="K61" s="202"/>
    </row>
    <row r="62" spans="1:11" ht="30">
      <c r="A62" s="28"/>
      <c r="B62" s="28"/>
      <c r="C62" s="28"/>
      <c r="D62" s="28"/>
      <c r="E62" s="28"/>
      <c r="F62" s="34" t="s">
        <v>0</v>
      </c>
      <c r="G62" s="34"/>
      <c r="H62" s="49" t="s">
        <v>39</v>
      </c>
      <c r="I62" s="49" t="s">
        <v>40</v>
      </c>
      <c r="J62" s="49" t="s">
        <v>3</v>
      </c>
      <c r="K62" s="49" t="s">
        <v>1</v>
      </c>
    </row>
    <row r="63" spans="1:11" ht="15">
      <c r="A63" s="22">
        <v>4</v>
      </c>
      <c r="B63" s="22" t="s">
        <v>125</v>
      </c>
      <c r="C63" s="22" t="s">
        <v>125</v>
      </c>
      <c r="D63" s="22">
        <v>0</v>
      </c>
      <c r="E63" s="22">
        <v>1</v>
      </c>
      <c r="F63" s="33" t="s">
        <v>4</v>
      </c>
      <c r="G63" s="214"/>
      <c r="H63" s="117"/>
      <c r="I63" s="4"/>
      <c r="J63" s="51">
        <v>3.22</v>
      </c>
      <c r="K63" s="52">
        <f aca="true" t="shared" si="4" ref="K63:K81">I63*J63</f>
        <v>0</v>
      </c>
    </row>
    <row r="64" spans="1:11" ht="15">
      <c r="A64" s="22">
        <v>4</v>
      </c>
      <c r="B64" s="22" t="s">
        <v>125</v>
      </c>
      <c r="C64" s="22" t="s">
        <v>125</v>
      </c>
      <c r="D64" s="22">
        <v>0</v>
      </c>
      <c r="E64" s="22">
        <v>2</v>
      </c>
      <c r="F64" s="33" t="s">
        <v>5</v>
      </c>
      <c r="G64" s="215"/>
      <c r="H64" s="117"/>
      <c r="I64" s="4"/>
      <c r="J64" s="51">
        <v>3.86</v>
      </c>
      <c r="K64" s="52">
        <f t="shared" si="4"/>
        <v>0</v>
      </c>
    </row>
    <row r="65" spans="1:11" ht="15">
      <c r="A65" s="22">
        <v>4</v>
      </c>
      <c r="B65" s="22" t="s">
        <v>125</v>
      </c>
      <c r="C65" s="22" t="s">
        <v>125</v>
      </c>
      <c r="D65" s="22">
        <v>0</v>
      </c>
      <c r="E65" s="22">
        <v>3</v>
      </c>
      <c r="F65" s="33" t="s">
        <v>6</v>
      </c>
      <c r="G65" s="215"/>
      <c r="H65" s="117"/>
      <c r="I65" s="4"/>
      <c r="J65" s="51">
        <v>4.51</v>
      </c>
      <c r="K65" s="52">
        <f t="shared" si="4"/>
        <v>0</v>
      </c>
    </row>
    <row r="66" spans="1:11" ht="15">
      <c r="A66" s="22">
        <v>4</v>
      </c>
      <c r="B66" s="22" t="s">
        <v>125</v>
      </c>
      <c r="C66" s="22" t="s">
        <v>125</v>
      </c>
      <c r="D66" s="22">
        <v>0</v>
      </c>
      <c r="E66" s="22">
        <v>4</v>
      </c>
      <c r="F66" s="33" t="s">
        <v>7</v>
      </c>
      <c r="G66" s="215"/>
      <c r="H66" s="117"/>
      <c r="I66" s="4"/>
      <c r="J66" s="51">
        <v>5.15</v>
      </c>
      <c r="K66" s="52">
        <f t="shared" si="4"/>
        <v>0</v>
      </c>
    </row>
    <row r="67" spans="1:11" ht="15">
      <c r="A67" s="22">
        <v>4</v>
      </c>
      <c r="B67" s="22" t="s">
        <v>125</v>
      </c>
      <c r="C67" s="22" t="s">
        <v>125</v>
      </c>
      <c r="D67" s="22">
        <v>0</v>
      </c>
      <c r="E67" s="22">
        <v>5</v>
      </c>
      <c r="F67" s="33" t="s">
        <v>8</v>
      </c>
      <c r="G67" s="215"/>
      <c r="H67" s="117"/>
      <c r="I67" s="4"/>
      <c r="J67" s="51">
        <v>6.44</v>
      </c>
      <c r="K67" s="52">
        <f t="shared" si="4"/>
        <v>0</v>
      </c>
    </row>
    <row r="68" spans="1:11" ht="15">
      <c r="A68" s="22">
        <v>4</v>
      </c>
      <c r="B68" s="22" t="s">
        <v>125</v>
      </c>
      <c r="C68" s="22" t="s">
        <v>125</v>
      </c>
      <c r="D68" s="22">
        <v>0</v>
      </c>
      <c r="E68" s="22">
        <v>6</v>
      </c>
      <c r="F68" s="33" t="s">
        <v>9</v>
      </c>
      <c r="G68" s="215"/>
      <c r="H68" s="117"/>
      <c r="I68" s="4"/>
      <c r="J68" s="51">
        <v>9.66</v>
      </c>
      <c r="K68" s="52">
        <f t="shared" si="4"/>
        <v>0</v>
      </c>
    </row>
    <row r="69" spans="1:11" ht="15">
      <c r="A69" s="22">
        <v>4</v>
      </c>
      <c r="B69" s="22" t="s">
        <v>125</v>
      </c>
      <c r="C69" s="22" t="s">
        <v>125</v>
      </c>
      <c r="D69" s="22">
        <v>0</v>
      </c>
      <c r="E69" s="22">
        <v>7</v>
      </c>
      <c r="F69" s="33" t="s">
        <v>10</v>
      </c>
      <c r="G69" s="215"/>
      <c r="H69" s="117"/>
      <c r="I69" s="4"/>
      <c r="J69" s="51">
        <v>12.88</v>
      </c>
      <c r="K69" s="52">
        <f t="shared" si="4"/>
        <v>0</v>
      </c>
    </row>
    <row r="70" spans="1:11" ht="15">
      <c r="A70" s="22">
        <v>4</v>
      </c>
      <c r="B70" s="22" t="s">
        <v>125</v>
      </c>
      <c r="C70" s="22" t="s">
        <v>125</v>
      </c>
      <c r="D70" s="22">
        <v>0</v>
      </c>
      <c r="E70" s="22">
        <v>8</v>
      </c>
      <c r="F70" s="33" t="s">
        <v>11</v>
      </c>
      <c r="G70" s="215"/>
      <c r="H70" s="117"/>
      <c r="I70" s="4"/>
      <c r="J70" s="51">
        <v>16.1</v>
      </c>
      <c r="K70" s="52">
        <f t="shared" si="4"/>
        <v>0</v>
      </c>
    </row>
    <row r="71" spans="1:11" ht="15">
      <c r="A71" s="22">
        <v>4</v>
      </c>
      <c r="B71" s="22" t="s">
        <v>125</v>
      </c>
      <c r="C71" s="22" t="s">
        <v>125</v>
      </c>
      <c r="D71" s="22">
        <v>0</v>
      </c>
      <c r="E71" s="22">
        <v>9</v>
      </c>
      <c r="F71" s="33" t="s">
        <v>12</v>
      </c>
      <c r="G71" s="215"/>
      <c r="H71" s="117"/>
      <c r="I71" s="4"/>
      <c r="J71" s="51">
        <v>22.54</v>
      </c>
      <c r="K71" s="52">
        <f t="shared" si="4"/>
        <v>0</v>
      </c>
    </row>
    <row r="72" spans="1:11" ht="15" customHeight="1">
      <c r="A72" s="77">
        <v>4</v>
      </c>
      <c r="B72" s="77" t="s">
        <v>125</v>
      </c>
      <c r="C72" s="77" t="s">
        <v>125</v>
      </c>
      <c r="D72" s="77">
        <v>1</v>
      </c>
      <c r="E72" s="77">
        <v>0</v>
      </c>
      <c r="F72" s="103" t="s">
        <v>219</v>
      </c>
      <c r="G72" s="215"/>
      <c r="H72" s="117"/>
      <c r="I72" s="4"/>
      <c r="J72" s="89">
        <v>28.98</v>
      </c>
      <c r="K72" s="90">
        <f t="shared" si="4"/>
        <v>0</v>
      </c>
    </row>
    <row r="73" spans="1:11" s="85" customFormat="1" ht="30">
      <c r="A73" s="80">
        <v>4</v>
      </c>
      <c r="B73" s="80" t="s">
        <v>125</v>
      </c>
      <c r="C73" s="80" t="s">
        <v>125</v>
      </c>
      <c r="D73" s="80">
        <v>1</v>
      </c>
      <c r="E73" s="80">
        <v>1</v>
      </c>
      <c r="F73" s="104" t="s">
        <v>220</v>
      </c>
      <c r="G73" s="215"/>
      <c r="H73" s="118"/>
      <c r="I73" s="82"/>
      <c r="J73" s="83">
        <v>32.2</v>
      </c>
      <c r="K73" s="84">
        <f t="shared" si="4"/>
        <v>0</v>
      </c>
    </row>
    <row r="74" spans="1:11" s="85" customFormat="1" ht="15">
      <c r="A74" s="80">
        <v>4</v>
      </c>
      <c r="B74" s="80" t="s">
        <v>125</v>
      </c>
      <c r="C74" s="80" t="s">
        <v>125</v>
      </c>
      <c r="D74" s="80">
        <v>1</v>
      </c>
      <c r="E74" s="80">
        <v>2</v>
      </c>
      <c r="F74" s="123" t="s">
        <v>226</v>
      </c>
      <c r="G74" s="216"/>
      <c r="H74" s="118"/>
      <c r="I74" s="82"/>
      <c r="J74" s="83">
        <f>J73+2.76</f>
        <v>34.96</v>
      </c>
      <c r="K74" s="84">
        <f t="shared" si="4"/>
        <v>0</v>
      </c>
    </row>
    <row r="75" spans="1:11" s="85" customFormat="1" ht="15">
      <c r="A75" s="80">
        <v>4</v>
      </c>
      <c r="B75" s="80" t="s">
        <v>125</v>
      </c>
      <c r="C75" s="80" t="s">
        <v>125</v>
      </c>
      <c r="D75" s="80">
        <v>1</v>
      </c>
      <c r="E75" s="80">
        <v>3</v>
      </c>
      <c r="F75" s="123" t="s">
        <v>227</v>
      </c>
      <c r="G75" s="216"/>
      <c r="H75" s="118"/>
      <c r="I75" s="82"/>
      <c r="J75" s="83">
        <f aca="true" t="shared" si="5" ref="J75:J80">J74+2.76</f>
        <v>37.72</v>
      </c>
      <c r="K75" s="84">
        <f t="shared" si="4"/>
        <v>0</v>
      </c>
    </row>
    <row r="76" spans="1:11" s="85" customFormat="1" ht="15">
      <c r="A76" s="80">
        <v>4</v>
      </c>
      <c r="B76" s="80" t="s">
        <v>125</v>
      </c>
      <c r="C76" s="80" t="s">
        <v>125</v>
      </c>
      <c r="D76" s="80">
        <v>1</v>
      </c>
      <c r="E76" s="80">
        <v>4</v>
      </c>
      <c r="F76" s="123" t="s">
        <v>228</v>
      </c>
      <c r="G76" s="216"/>
      <c r="H76" s="118"/>
      <c r="I76" s="82"/>
      <c r="J76" s="83">
        <f t="shared" si="5"/>
        <v>40.48</v>
      </c>
      <c r="K76" s="84">
        <f t="shared" si="4"/>
        <v>0</v>
      </c>
    </row>
    <row r="77" spans="1:11" s="85" customFormat="1" ht="15">
      <c r="A77" s="80">
        <v>4</v>
      </c>
      <c r="B77" s="80" t="s">
        <v>125</v>
      </c>
      <c r="C77" s="80" t="s">
        <v>125</v>
      </c>
      <c r="D77" s="80">
        <v>1</v>
      </c>
      <c r="E77" s="80">
        <v>5</v>
      </c>
      <c r="F77" s="123" t="s">
        <v>229</v>
      </c>
      <c r="G77" s="216"/>
      <c r="H77" s="118"/>
      <c r="I77" s="82"/>
      <c r="J77" s="83">
        <f>J76+2.76</f>
        <v>43.239999999999995</v>
      </c>
      <c r="K77" s="84">
        <f t="shared" si="4"/>
        <v>0</v>
      </c>
    </row>
    <row r="78" spans="1:11" s="85" customFormat="1" ht="15">
      <c r="A78" s="80">
        <v>4</v>
      </c>
      <c r="B78" s="80" t="s">
        <v>125</v>
      </c>
      <c r="C78" s="80" t="s">
        <v>125</v>
      </c>
      <c r="D78" s="80">
        <v>1</v>
      </c>
      <c r="E78" s="80">
        <v>6</v>
      </c>
      <c r="F78" s="123" t="s">
        <v>230</v>
      </c>
      <c r="G78" s="216"/>
      <c r="H78" s="118"/>
      <c r="I78" s="82"/>
      <c r="J78" s="83">
        <f t="shared" si="5"/>
        <v>45.99999999999999</v>
      </c>
      <c r="K78" s="84">
        <f t="shared" si="4"/>
        <v>0</v>
      </c>
    </row>
    <row r="79" spans="1:11" s="85" customFormat="1" ht="15">
      <c r="A79" s="80">
        <v>4</v>
      </c>
      <c r="B79" s="80" t="s">
        <v>125</v>
      </c>
      <c r="C79" s="80" t="s">
        <v>125</v>
      </c>
      <c r="D79" s="80">
        <v>1</v>
      </c>
      <c r="E79" s="80">
        <v>7</v>
      </c>
      <c r="F79" s="123" t="s">
        <v>231</v>
      </c>
      <c r="G79" s="216"/>
      <c r="H79" s="118"/>
      <c r="I79" s="82"/>
      <c r="J79" s="83">
        <f>J78+2.76</f>
        <v>48.75999999999999</v>
      </c>
      <c r="K79" s="84">
        <f t="shared" si="4"/>
        <v>0</v>
      </c>
    </row>
    <row r="80" spans="1:11" s="85" customFormat="1" ht="15.75" thickBot="1">
      <c r="A80" s="80">
        <v>4</v>
      </c>
      <c r="B80" s="80" t="s">
        <v>125</v>
      </c>
      <c r="C80" s="80" t="s">
        <v>125</v>
      </c>
      <c r="D80" s="80">
        <v>1</v>
      </c>
      <c r="E80" s="80">
        <v>8</v>
      </c>
      <c r="F80" s="123" t="s">
        <v>232</v>
      </c>
      <c r="G80" s="217"/>
      <c r="H80" s="118"/>
      <c r="I80" s="82"/>
      <c r="J80" s="83">
        <f t="shared" si="5"/>
        <v>51.51999999999999</v>
      </c>
      <c r="K80" s="84">
        <f t="shared" si="4"/>
        <v>0</v>
      </c>
    </row>
    <row r="81" spans="1:11" s="85" customFormat="1" ht="15.75" thickBot="1">
      <c r="A81" s="80">
        <v>4</v>
      </c>
      <c r="B81" s="80" t="s">
        <v>125</v>
      </c>
      <c r="C81" s="80" t="s">
        <v>125</v>
      </c>
      <c r="D81" s="80">
        <v>1</v>
      </c>
      <c r="E81" s="80">
        <v>9</v>
      </c>
      <c r="F81" s="111" t="s">
        <v>252</v>
      </c>
      <c r="G81" s="124"/>
      <c r="H81" s="118"/>
      <c r="I81" s="82"/>
      <c r="J81" s="83">
        <f>IF(G81&gt;=2100,IF(G81&gt;=2300,IF(G81&gt;=2500,IF(G81&gt;=2700,IF(G81&gt;=2900,IF(G81&gt;=3100,IF(G81&gt;=3300,IF(G81&gt;=3500,0,70.84),68.08),65.32),62.56),59.8),57.04),54.28),IF(G81&gt;=500,32.2,0))</f>
        <v>0</v>
      </c>
      <c r="K81" s="84">
        <f t="shared" si="4"/>
        <v>0</v>
      </c>
    </row>
    <row r="82" spans="1:11" ht="15">
      <c r="A82" s="28"/>
      <c r="B82" s="28"/>
      <c r="C82" s="28"/>
      <c r="D82" s="28"/>
      <c r="E82" s="28"/>
      <c r="F82" s="53" t="s">
        <v>13</v>
      </c>
      <c r="G82" s="112"/>
      <c r="H82" s="53"/>
      <c r="I82" s="50"/>
      <c r="J82" s="50"/>
      <c r="K82" s="52">
        <f>SUM(K63:K81)</f>
        <v>0</v>
      </c>
    </row>
    <row r="83" spans="1:11" ht="15">
      <c r="A83" s="54"/>
      <c r="B83" s="54"/>
      <c r="C83" s="54"/>
      <c r="D83" s="54"/>
      <c r="E83" s="54"/>
      <c r="F83" s="55"/>
      <c r="G83" s="55"/>
      <c r="H83" s="55"/>
      <c r="I83" s="56"/>
      <c r="J83" s="54"/>
      <c r="K83" s="57"/>
    </row>
    <row r="84" spans="1:11" ht="15">
      <c r="A84" s="28"/>
      <c r="B84" s="28"/>
      <c r="C84" s="28"/>
      <c r="D84" s="28"/>
      <c r="E84" s="28"/>
      <c r="F84" s="200" t="s">
        <v>46</v>
      </c>
      <c r="G84" s="200"/>
      <c r="H84" s="201"/>
      <c r="I84" s="202"/>
      <c r="J84" s="202"/>
      <c r="K84" s="202"/>
    </row>
    <row r="85" spans="1:11" ht="30">
      <c r="A85" s="28"/>
      <c r="B85" s="28"/>
      <c r="C85" s="28"/>
      <c r="D85" s="28"/>
      <c r="E85" s="28"/>
      <c r="F85" s="34" t="s">
        <v>0</v>
      </c>
      <c r="G85" s="34"/>
      <c r="H85" s="49" t="s">
        <v>39</v>
      </c>
      <c r="I85" s="49" t="s">
        <v>40</v>
      </c>
      <c r="J85" s="49" t="s">
        <v>3</v>
      </c>
      <c r="K85" s="49" t="s">
        <v>1</v>
      </c>
    </row>
    <row r="86" spans="1:11" ht="15">
      <c r="A86" s="22">
        <v>4</v>
      </c>
      <c r="B86" s="22" t="s">
        <v>178</v>
      </c>
      <c r="C86" s="22" t="s">
        <v>178</v>
      </c>
      <c r="D86" s="22">
        <v>0</v>
      </c>
      <c r="E86" s="22">
        <v>1</v>
      </c>
      <c r="F86" s="33" t="s">
        <v>19</v>
      </c>
      <c r="G86" s="214"/>
      <c r="H86" s="117"/>
      <c r="I86" s="4"/>
      <c r="J86" s="51">
        <v>6.44</v>
      </c>
      <c r="K86" s="52">
        <f aca="true" t="shared" si="6" ref="K86:K97">I86*J86</f>
        <v>0</v>
      </c>
    </row>
    <row r="87" spans="1:11" ht="15">
      <c r="A87" s="22">
        <v>4</v>
      </c>
      <c r="B87" s="22" t="s">
        <v>178</v>
      </c>
      <c r="C87" s="22" t="s">
        <v>178</v>
      </c>
      <c r="D87" s="22">
        <v>0</v>
      </c>
      <c r="E87" s="22">
        <v>2</v>
      </c>
      <c r="F87" s="33" t="s">
        <v>20</v>
      </c>
      <c r="G87" s="215"/>
      <c r="H87" s="117"/>
      <c r="I87" s="4"/>
      <c r="J87" s="51">
        <v>9.66</v>
      </c>
      <c r="K87" s="52">
        <f t="shared" si="6"/>
        <v>0</v>
      </c>
    </row>
    <row r="88" spans="1:11" ht="15">
      <c r="A88" s="22">
        <v>4</v>
      </c>
      <c r="B88" s="22" t="s">
        <v>178</v>
      </c>
      <c r="C88" s="22" t="s">
        <v>178</v>
      </c>
      <c r="D88" s="22">
        <v>0</v>
      </c>
      <c r="E88" s="22">
        <v>3</v>
      </c>
      <c r="F88" s="33" t="s">
        <v>10</v>
      </c>
      <c r="G88" s="215"/>
      <c r="H88" s="117"/>
      <c r="I88" s="4"/>
      <c r="J88" s="51">
        <v>12.88</v>
      </c>
      <c r="K88" s="52">
        <f t="shared" si="6"/>
        <v>0</v>
      </c>
    </row>
    <row r="89" spans="1:11" ht="15">
      <c r="A89" s="22">
        <v>4</v>
      </c>
      <c r="B89" s="22" t="s">
        <v>178</v>
      </c>
      <c r="C89" s="22" t="s">
        <v>178</v>
      </c>
      <c r="D89" s="22">
        <v>0</v>
      </c>
      <c r="E89" s="22">
        <v>4</v>
      </c>
      <c r="F89" s="33" t="s">
        <v>11</v>
      </c>
      <c r="G89" s="215"/>
      <c r="H89" s="117"/>
      <c r="I89" s="4"/>
      <c r="J89" s="51">
        <v>16.1</v>
      </c>
      <c r="K89" s="52">
        <f t="shared" si="6"/>
        <v>0</v>
      </c>
    </row>
    <row r="90" spans="1:11" ht="15">
      <c r="A90" s="22">
        <v>4</v>
      </c>
      <c r="B90" s="22" t="s">
        <v>178</v>
      </c>
      <c r="C90" s="22" t="s">
        <v>178</v>
      </c>
      <c r="D90" s="22">
        <v>0</v>
      </c>
      <c r="E90" s="22">
        <v>5</v>
      </c>
      <c r="F90" s="33" t="s">
        <v>12</v>
      </c>
      <c r="G90" s="215"/>
      <c r="H90" s="117"/>
      <c r="I90" s="4"/>
      <c r="J90" s="51">
        <v>22.54</v>
      </c>
      <c r="K90" s="52">
        <f t="shared" si="6"/>
        <v>0</v>
      </c>
    </row>
    <row r="91" spans="1:11" ht="15" customHeight="1">
      <c r="A91" s="77">
        <v>4</v>
      </c>
      <c r="B91" s="77" t="s">
        <v>178</v>
      </c>
      <c r="C91" s="77" t="s">
        <v>178</v>
      </c>
      <c r="D91" s="77">
        <v>0</v>
      </c>
      <c r="E91" s="77">
        <v>6</v>
      </c>
      <c r="F91" s="103" t="s">
        <v>219</v>
      </c>
      <c r="G91" s="215"/>
      <c r="H91" s="117"/>
      <c r="I91" s="4"/>
      <c r="J91" s="89">
        <v>28.98</v>
      </c>
      <c r="K91" s="90">
        <f t="shared" si="6"/>
        <v>0</v>
      </c>
    </row>
    <row r="92" spans="1:11" s="85" customFormat="1" ht="30">
      <c r="A92" s="80">
        <v>4</v>
      </c>
      <c r="B92" s="80" t="s">
        <v>178</v>
      </c>
      <c r="C92" s="80" t="s">
        <v>178</v>
      </c>
      <c r="D92" s="80">
        <v>0</v>
      </c>
      <c r="E92" s="80">
        <v>7</v>
      </c>
      <c r="F92" s="104" t="s">
        <v>224</v>
      </c>
      <c r="G92" s="215"/>
      <c r="H92" s="118"/>
      <c r="I92" s="82"/>
      <c r="J92" s="83">
        <v>32.2</v>
      </c>
      <c r="K92" s="84">
        <f t="shared" si="6"/>
        <v>0</v>
      </c>
    </row>
    <row r="93" spans="1:11" s="85" customFormat="1" ht="15">
      <c r="A93" s="80">
        <v>4</v>
      </c>
      <c r="B93" s="80" t="s">
        <v>178</v>
      </c>
      <c r="C93" s="80" t="s">
        <v>178</v>
      </c>
      <c r="D93" s="80">
        <v>0</v>
      </c>
      <c r="E93" s="80">
        <v>8</v>
      </c>
      <c r="F93" s="123" t="s">
        <v>233</v>
      </c>
      <c r="G93" s="216"/>
      <c r="H93" s="118"/>
      <c r="I93" s="82"/>
      <c r="J93" s="83">
        <f>J92+2.76</f>
        <v>34.96</v>
      </c>
      <c r="K93" s="84">
        <f t="shared" si="6"/>
        <v>0</v>
      </c>
    </row>
    <row r="94" spans="1:11" s="85" customFormat="1" ht="15">
      <c r="A94" s="80">
        <v>4</v>
      </c>
      <c r="B94" s="80" t="s">
        <v>178</v>
      </c>
      <c r="C94" s="80" t="s">
        <v>178</v>
      </c>
      <c r="D94" s="80">
        <v>0</v>
      </c>
      <c r="E94" s="80">
        <v>9</v>
      </c>
      <c r="F94" s="123" t="s">
        <v>234</v>
      </c>
      <c r="G94" s="216"/>
      <c r="H94" s="118"/>
      <c r="I94" s="82"/>
      <c r="J94" s="83">
        <f>J93+2.76</f>
        <v>37.72</v>
      </c>
      <c r="K94" s="84">
        <f t="shared" si="6"/>
        <v>0</v>
      </c>
    </row>
    <row r="95" spans="1:11" s="85" customFormat="1" ht="15">
      <c r="A95" s="80">
        <v>4</v>
      </c>
      <c r="B95" s="80" t="s">
        <v>178</v>
      </c>
      <c r="C95" s="80" t="s">
        <v>178</v>
      </c>
      <c r="D95" s="80">
        <v>1</v>
      </c>
      <c r="E95" s="80">
        <v>0</v>
      </c>
      <c r="F95" s="123" t="s">
        <v>235</v>
      </c>
      <c r="G95" s="216"/>
      <c r="H95" s="118"/>
      <c r="I95" s="82"/>
      <c r="J95" s="83">
        <f>J94+2.76</f>
        <v>40.48</v>
      </c>
      <c r="K95" s="84">
        <f t="shared" si="6"/>
        <v>0</v>
      </c>
    </row>
    <row r="96" spans="1:11" s="85" customFormat="1" ht="15.75" thickBot="1">
      <c r="A96" s="80">
        <v>4</v>
      </c>
      <c r="B96" s="80" t="s">
        <v>178</v>
      </c>
      <c r="C96" s="80" t="s">
        <v>178</v>
      </c>
      <c r="D96" s="80">
        <v>1</v>
      </c>
      <c r="E96" s="80">
        <v>1</v>
      </c>
      <c r="F96" s="123" t="s">
        <v>236</v>
      </c>
      <c r="G96" s="217"/>
      <c r="H96" s="118"/>
      <c r="I96" s="82"/>
      <c r="J96" s="83">
        <f>J95+2.76</f>
        <v>43.239999999999995</v>
      </c>
      <c r="K96" s="84">
        <f t="shared" si="6"/>
        <v>0</v>
      </c>
    </row>
    <row r="97" spans="1:11" s="85" customFormat="1" ht="15.75" thickBot="1">
      <c r="A97" s="80">
        <v>4</v>
      </c>
      <c r="B97" s="80" t="s">
        <v>178</v>
      </c>
      <c r="C97" s="80" t="s">
        <v>178</v>
      </c>
      <c r="D97" s="80">
        <v>1</v>
      </c>
      <c r="E97" s="80">
        <v>2</v>
      </c>
      <c r="F97" s="111" t="s">
        <v>253</v>
      </c>
      <c r="G97" s="124"/>
      <c r="H97" s="118"/>
      <c r="I97" s="82"/>
      <c r="J97" s="83">
        <f>IF(G97&gt;=3000,IF(G97&gt;=3500,IF(G97&gt;=4000,IF(G97&gt;=4500,IF(G97&gt;=5000,IF(G97&gt;=5500,IF(G97&gt;=6000,IF(G97&gt;=6500,0,62.56),59.8),57.04),54.28),51.52),48.76),46),IF(G97&gt;=2500,43.24,0))</f>
        <v>0</v>
      </c>
      <c r="K97" s="84">
        <f t="shared" si="6"/>
        <v>0</v>
      </c>
    </row>
    <row r="98" spans="1:11" ht="15">
      <c r="A98" s="28"/>
      <c r="B98" s="28"/>
      <c r="C98" s="28"/>
      <c r="D98" s="28"/>
      <c r="E98" s="28"/>
      <c r="F98" s="34" t="s">
        <v>13</v>
      </c>
      <c r="G98" s="99"/>
      <c r="H98" s="34"/>
      <c r="I98" s="50"/>
      <c r="J98" s="51"/>
      <c r="K98" s="52">
        <f>SUM(K86:K97)</f>
        <v>0</v>
      </c>
    </row>
    <row r="99" spans="1:11" ht="15">
      <c r="A99" s="54"/>
      <c r="B99" s="54"/>
      <c r="C99" s="54"/>
      <c r="D99" s="54"/>
      <c r="E99" s="54"/>
      <c r="F99" s="55"/>
      <c r="G99" s="55"/>
      <c r="H99" s="55"/>
      <c r="I99" s="56"/>
      <c r="J99" s="54"/>
      <c r="K99" s="57"/>
    </row>
    <row r="100" spans="1:11" ht="15">
      <c r="A100" s="28"/>
      <c r="B100" s="28"/>
      <c r="C100" s="28"/>
      <c r="D100" s="28"/>
      <c r="E100" s="28"/>
      <c r="F100" s="200" t="s">
        <v>48</v>
      </c>
      <c r="G100" s="200"/>
      <c r="H100" s="201"/>
      <c r="I100" s="202"/>
      <c r="J100" s="202"/>
      <c r="K100" s="202"/>
    </row>
    <row r="101" spans="1:11" ht="30">
      <c r="A101" s="28"/>
      <c r="B101" s="28"/>
      <c r="C101" s="28"/>
      <c r="D101" s="28"/>
      <c r="E101" s="28"/>
      <c r="F101" s="34" t="s">
        <v>0</v>
      </c>
      <c r="G101" s="34"/>
      <c r="H101" s="49" t="s">
        <v>39</v>
      </c>
      <c r="I101" s="49" t="s">
        <v>40</v>
      </c>
      <c r="J101" s="49" t="s">
        <v>3</v>
      </c>
      <c r="K101" s="49" t="s">
        <v>1</v>
      </c>
    </row>
    <row r="102" spans="1:11" ht="15">
      <c r="A102" s="22">
        <v>5</v>
      </c>
      <c r="B102" s="22" t="s">
        <v>120</v>
      </c>
      <c r="C102" s="22" t="s">
        <v>120</v>
      </c>
      <c r="D102" s="22">
        <v>0</v>
      </c>
      <c r="E102" s="22">
        <v>1</v>
      </c>
      <c r="F102" s="33" t="s">
        <v>23</v>
      </c>
      <c r="G102" s="207"/>
      <c r="H102" s="117"/>
      <c r="I102" s="121"/>
      <c r="J102" s="51">
        <v>0.64</v>
      </c>
      <c r="K102" s="58">
        <f aca="true" t="shared" si="7" ref="K102:K116">I102*J102</f>
        <v>0</v>
      </c>
    </row>
    <row r="103" spans="1:11" ht="15">
      <c r="A103" s="22">
        <v>5</v>
      </c>
      <c r="B103" s="22" t="s">
        <v>120</v>
      </c>
      <c r="C103" s="22" t="s">
        <v>120</v>
      </c>
      <c r="D103" s="22">
        <v>0</v>
      </c>
      <c r="E103" s="22">
        <v>2</v>
      </c>
      <c r="F103" s="33" t="s">
        <v>24</v>
      </c>
      <c r="G103" s="208"/>
      <c r="H103" s="117"/>
      <c r="I103" s="121"/>
      <c r="J103" s="51">
        <v>0.97</v>
      </c>
      <c r="K103" s="58">
        <f t="shared" si="7"/>
        <v>0</v>
      </c>
    </row>
    <row r="104" spans="1:11" ht="15">
      <c r="A104" s="22">
        <v>5</v>
      </c>
      <c r="B104" s="22" t="s">
        <v>120</v>
      </c>
      <c r="C104" s="22" t="s">
        <v>120</v>
      </c>
      <c r="D104" s="22">
        <v>0</v>
      </c>
      <c r="E104" s="22">
        <v>3</v>
      </c>
      <c r="F104" s="33" t="s">
        <v>25</v>
      </c>
      <c r="G104" s="208"/>
      <c r="H104" s="117"/>
      <c r="I104" s="121"/>
      <c r="J104" s="51">
        <v>1.29</v>
      </c>
      <c r="K104" s="58">
        <f t="shared" si="7"/>
        <v>0</v>
      </c>
    </row>
    <row r="105" spans="1:11" ht="15">
      <c r="A105" s="22">
        <v>5</v>
      </c>
      <c r="B105" s="22" t="s">
        <v>120</v>
      </c>
      <c r="C105" s="22" t="s">
        <v>120</v>
      </c>
      <c r="D105" s="22">
        <v>0</v>
      </c>
      <c r="E105" s="22">
        <v>4</v>
      </c>
      <c r="F105" s="33" t="s">
        <v>16</v>
      </c>
      <c r="G105" s="208"/>
      <c r="H105" s="117"/>
      <c r="I105" s="121"/>
      <c r="J105" s="51">
        <v>1.61</v>
      </c>
      <c r="K105" s="58">
        <f t="shared" si="7"/>
        <v>0</v>
      </c>
    </row>
    <row r="106" spans="1:11" ht="15">
      <c r="A106" s="22">
        <v>5</v>
      </c>
      <c r="B106" s="22" t="s">
        <v>120</v>
      </c>
      <c r="C106" s="22" t="s">
        <v>120</v>
      </c>
      <c r="D106" s="22">
        <v>0</v>
      </c>
      <c r="E106" s="22">
        <v>5</v>
      </c>
      <c r="F106" s="33" t="s">
        <v>26</v>
      </c>
      <c r="G106" s="208"/>
      <c r="H106" s="117"/>
      <c r="I106" s="121"/>
      <c r="J106" s="51">
        <v>1.93</v>
      </c>
      <c r="K106" s="58">
        <f t="shared" si="7"/>
        <v>0</v>
      </c>
    </row>
    <row r="107" spans="1:11" ht="15">
      <c r="A107" s="22">
        <v>5</v>
      </c>
      <c r="B107" s="22" t="s">
        <v>120</v>
      </c>
      <c r="C107" s="22" t="s">
        <v>120</v>
      </c>
      <c r="D107" s="22">
        <v>0</v>
      </c>
      <c r="E107" s="22">
        <v>6</v>
      </c>
      <c r="F107" s="33" t="s">
        <v>6</v>
      </c>
      <c r="G107" s="208"/>
      <c r="H107" s="117"/>
      <c r="I107" s="121"/>
      <c r="J107" s="51">
        <v>2.25</v>
      </c>
      <c r="K107" s="58">
        <f t="shared" si="7"/>
        <v>0</v>
      </c>
    </row>
    <row r="108" spans="1:11" ht="15">
      <c r="A108" s="22">
        <v>5</v>
      </c>
      <c r="B108" s="22" t="s">
        <v>120</v>
      </c>
      <c r="C108" s="22" t="s">
        <v>120</v>
      </c>
      <c r="D108" s="22">
        <v>0</v>
      </c>
      <c r="E108" s="22">
        <v>7</v>
      </c>
      <c r="F108" s="33" t="s">
        <v>7</v>
      </c>
      <c r="G108" s="208"/>
      <c r="H108" s="117"/>
      <c r="I108" s="121"/>
      <c r="J108" s="51">
        <v>2.58</v>
      </c>
      <c r="K108" s="58">
        <f t="shared" si="7"/>
        <v>0</v>
      </c>
    </row>
    <row r="109" spans="1:11" ht="15">
      <c r="A109" s="22">
        <v>5</v>
      </c>
      <c r="B109" s="22" t="s">
        <v>120</v>
      </c>
      <c r="C109" s="22" t="s">
        <v>120</v>
      </c>
      <c r="D109" s="22">
        <v>0</v>
      </c>
      <c r="E109" s="22">
        <v>8</v>
      </c>
      <c r="F109" s="33" t="s">
        <v>8</v>
      </c>
      <c r="G109" s="208"/>
      <c r="H109" s="117"/>
      <c r="I109" s="121"/>
      <c r="J109" s="51">
        <v>3.22</v>
      </c>
      <c r="K109" s="58">
        <f t="shared" si="7"/>
        <v>0</v>
      </c>
    </row>
    <row r="110" spans="1:11" ht="15">
      <c r="A110" s="22">
        <v>5</v>
      </c>
      <c r="B110" s="22" t="s">
        <v>120</v>
      </c>
      <c r="C110" s="22" t="s">
        <v>120</v>
      </c>
      <c r="D110" s="22">
        <v>0</v>
      </c>
      <c r="E110" s="22">
        <v>9</v>
      </c>
      <c r="F110" s="33" t="s">
        <v>9</v>
      </c>
      <c r="G110" s="208"/>
      <c r="H110" s="117"/>
      <c r="I110" s="121"/>
      <c r="J110" s="51">
        <v>4.83</v>
      </c>
      <c r="K110" s="58">
        <f t="shared" si="7"/>
        <v>0</v>
      </c>
    </row>
    <row r="111" spans="1:11" ht="15">
      <c r="A111" s="22">
        <v>5</v>
      </c>
      <c r="B111" s="22" t="s">
        <v>120</v>
      </c>
      <c r="C111" s="22" t="s">
        <v>120</v>
      </c>
      <c r="D111" s="22">
        <v>1</v>
      </c>
      <c r="E111" s="22">
        <v>0</v>
      </c>
      <c r="F111" s="33" t="s">
        <v>10</v>
      </c>
      <c r="G111" s="208"/>
      <c r="H111" s="117"/>
      <c r="I111" s="121"/>
      <c r="J111" s="51">
        <v>6.44</v>
      </c>
      <c r="K111" s="58">
        <f t="shared" si="7"/>
        <v>0</v>
      </c>
    </row>
    <row r="112" spans="1:11" ht="15">
      <c r="A112" s="22">
        <v>5</v>
      </c>
      <c r="B112" s="22" t="s">
        <v>120</v>
      </c>
      <c r="C112" s="22" t="s">
        <v>120</v>
      </c>
      <c r="D112" s="22">
        <v>1</v>
      </c>
      <c r="E112" s="22">
        <v>1</v>
      </c>
      <c r="F112" s="33" t="s">
        <v>11</v>
      </c>
      <c r="G112" s="208"/>
      <c r="H112" s="117"/>
      <c r="I112" s="121"/>
      <c r="J112" s="51">
        <v>8.05</v>
      </c>
      <c r="K112" s="58">
        <f t="shared" si="7"/>
        <v>0</v>
      </c>
    </row>
    <row r="113" spans="1:11" ht="15">
      <c r="A113" s="22">
        <v>5</v>
      </c>
      <c r="B113" s="22" t="s">
        <v>120</v>
      </c>
      <c r="C113" s="22" t="s">
        <v>120</v>
      </c>
      <c r="D113" s="22">
        <v>1</v>
      </c>
      <c r="E113" s="22">
        <v>2</v>
      </c>
      <c r="F113" s="33" t="s">
        <v>12</v>
      </c>
      <c r="G113" s="208"/>
      <c r="H113" s="117"/>
      <c r="I113" s="121"/>
      <c r="J113" s="51">
        <v>11.27</v>
      </c>
      <c r="K113" s="58">
        <f t="shared" si="7"/>
        <v>0</v>
      </c>
    </row>
    <row r="114" spans="1:11" ht="15" customHeight="1">
      <c r="A114" s="77">
        <v>5</v>
      </c>
      <c r="B114" s="77" t="s">
        <v>120</v>
      </c>
      <c r="C114" s="77" t="s">
        <v>120</v>
      </c>
      <c r="D114" s="77">
        <v>1</v>
      </c>
      <c r="E114" s="77">
        <v>3</v>
      </c>
      <c r="F114" s="103" t="s">
        <v>219</v>
      </c>
      <c r="G114" s="208"/>
      <c r="H114" s="117"/>
      <c r="I114" s="121"/>
      <c r="J114" s="89">
        <v>14.49</v>
      </c>
      <c r="K114" s="90">
        <f t="shared" si="7"/>
        <v>0</v>
      </c>
    </row>
    <row r="115" spans="1:11" s="85" customFormat="1" ht="30.75" thickBot="1">
      <c r="A115" s="80">
        <v>5</v>
      </c>
      <c r="B115" s="80" t="s">
        <v>120</v>
      </c>
      <c r="C115" s="80" t="s">
        <v>120</v>
      </c>
      <c r="D115" s="80">
        <v>1</v>
      </c>
      <c r="E115" s="80">
        <v>4</v>
      </c>
      <c r="F115" s="104" t="s">
        <v>220</v>
      </c>
      <c r="G115" s="211"/>
      <c r="H115" s="118"/>
      <c r="I115" s="122"/>
      <c r="J115" s="83">
        <v>16.1</v>
      </c>
      <c r="K115" s="84">
        <f t="shared" si="7"/>
        <v>0</v>
      </c>
    </row>
    <row r="116" spans="1:11" s="85" customFormat="1" ht="16.5" thickBot="1" thickTop="1">
      <c r="A116" s="80">
        <v>5</v>
      </c>
      <c r="B116" s="80" t="s">
        <v>120</v>
      </c>
      <c r="C116" s="80" t="s">
        <v>120</v>
      </c>
      <c r="D116" s="80">
        <v>1</v>
      </c>
      <c r="E116" s="80">
        <v>5</v>
      </c>
      <c r="F116" s="111" t="s">
        <v>223</v>
      </c>
      <c r="G116" s="114"/>
      <c r="H116" s="118"/>
      <c r="I116" s="122"/>
      <c r="J116" s="83">
        <f>IF(G116&gt;=700,IF(G116&gt;=900,IF(G116&gt;=1100,IF(G116&gt;=1300,IF(G116&gt;=1500,IF(G116&gt;=1700,IF(G116&gt;=1900,IF(G116&gt;=2100,0,28.98),27.14),25.3),23.46),21.62),19.78),17.94),IF(G116&gt;=500,16.1,0))</f>
        <v>0</v>
      </c>
      <c r="K116" s="84">
        <f t="shared" si="7"/>
        <v>0</v>
      </c>
    </row>
    <row r="117" spans="1:11" ht="15.75" thickTop="1">
      <c r="A117" s="28"/>
      <c r="B117" s="28"/>
      <c r="C117" s="28"/>
      <c r="D117" s="28"/>
      <c r="E117" s="28"/>
      <c r="F117" s="53" t="s">
        <v>13</v>
      </c>
      <c r="G117" s="112"/>
      <c r="H117" s="53"/>
      <c r="I117" s="50"/>
      <c r="J117" s="50"/>
      <c r="K117" s="52">
        <f>SUM(K102:K116)</f>
        <v>0</v>
      </c>
    </row>
    <row r="118" spans="1:11" ht="15">
      <c r="A118" s="54"/>
      <c r="B118" s="54"/>
      <c r="C118" s="54"/>
      <c r="D118" s="54"/>
      <c r="E118" s="54"/>
      <c r="F118" s="55"/>
      <c r="G118" s="55"/>
      <c r="H118" s="55"/>
      <c r="I118" s="56"/>
      <c r="J118" s="54"/>
      <c r="K118" s="57"/>
    </row>
    <row r="119" spans="1:11" ht="15">
      <c r="A119" s="28"/>
      <c r="B119" s="28"/>
      <c r="C119" s="28"/>
      <c r="D119" s="28"/>
      <c r="E119" s="28"/>
      <c r="F119" s="200" t="s">
        <v>47</v>
      </c>
      <c r="G119" s="200"/>
      <c r="H119" s="201"/>
      <c r="I119" s="202"/>
      <c r="J119" s="202"/>
      <c r="K119" s="202"/>
    </row>
    <row r="120" spans="1:11" ht="30">
      <c r="A120" s="28"/>
      <c r="B120" s="28"/>
      <c r="C120" s="28"/>
      <c r="D120" s="28"/>
      <c r="E120" s="28"/>
      <c r="F120" s="34"/>
      <c r="G120" s="34"/>
      <c r="H120" s="49" t="s">
        <v>39</v>
      </c>
      <c r="I120" s="49" t="s">
        <v>40</v>
      </c>
      <c r="J120" s="49" t="s">
        <v>3</v>
      </c>
      <c r="K120" s="49" t="s">
        <v>1</v>
      </c>
    </row>
    <row r="121" spans="1:11" ht="15">
      <c r="A121" s="22">
        <v>6</v>
      </c>
      <c r="B121" s="22" t="s">
        <v>120</v>
      </c>
      <c r="C121" s="22" t="s">
        <v>120</v>
      </c>
      <c r="D121" s="22">
        <v>0</v>
      </c>
      <c r="E121" s="22">
        <v>1</v>
      </c>
      <c r="F121" s="34" t="s">
        <v>181</v>
      </c>
      <c r="G121" s="34"/>
      <c r="H121" s="117"/>
      <c r="I121" s="4"/>
      <c r="J121" s="51">
        <v>0.9</v>
      </c>
      <c r="K121" s="52">
        <f>I121*J121</f>
        <v>0</v>
      </c>
    </row>
    <row r="122" spans="1:11" ht="15">
      <c r="A122" s="28"/>
      <c r="B122" s="28"/>
      <c r="C122" s="28"/>
      <c r="D122" s="28"/>
      <c r="E122" s="28"/>
      <c r="F122" s="34" t="s">
        <v>13</v>
      </c>
      <c r="G122" s="34"/>
      <c r="H122" s="34"/>
      <c r="I122" s="50"/>
      <c r="J122" s="59"/>
      <c r="K122" s="52">
        <f>SUM(K121)</f>
        <v>0</v>
      </c>
    </row>
    <row r="123" spans="1:11" ht="15">
      <c r="A123" s="54"/>
      <c r="B123" s="54"/>
      <c r="C123" s="54"/>
      <c r="D123" s="54"/>
      <c r="E123" s="54"/>
      <c r="F123" s="55"/>
      <c r="G123" s="55"/>
      <c r="H123" s="55"/>
      <c r="I123" s="56"/>
      <c r="J123" s="54"/>
      <c r="K123" s="57"/>
    </row>
    <row r="124" spans="1:11" ht="15">
      <c r="A124" s="28"/>
      <c r="B124" s="28"/>
      <c r="C124" s="28"/>
      <c r="D124" s="28"/>
      <c r="E124" s="28"/>
      <c r="F124" s="200" t="s">
        <v>49</v>
      </c>
      <c r="G124" s="200"/>
      <c r="H124" s="201"/>
      <c r="I124" s="202"/>
      <c r="J124" s="202"/>
      <c r="K124" s="202"/>
    </row>
    <row r="125" spans="1:11" ht="30">
      <c r="A125" s="28"/>
      <c r="B125" s="28"/>
      <c r="C125" s="28"/>
      <c r="D125" s="28"/>
      <c r="E125" s="28"/>
      <c r="F125" s="34"/>
      <c r="G125" s="34"/>
      <c r="H125" s="49" t="s">
        <v>39</v>
      </c>
      <c r="I125" s="49" t="s">
        <v>40</v>
      </c>
      <c r="J125" s="49" t="s">
        <v>3</v>
      </c>
      <c r="K125" s="49" t="s">
        <v>1</v>
      </c>
    </row>
    <row r="126" spans="1:11" ht="15">
      <c r="A126" s="22">
        <v>7</v>
      </c>
      <c r="B126" s="22" t="s">
        <v>120</v>
      </c>
      <c r="C126" s="22" t="s">
        <v>120</v>
      </c>
      <c r="D126" s="22">
        <v>0</v>
      </c>
      <c r="E126" s="22">
        <v>1</v>
      </c>
      <c r="F126" s="34" t="s">
        <v>21</v>
      </c>
      <c r="G126" s="34"/>
      <c r="H126" s="117"/>
      <c r="I126" s="4"/>
      <c r="J126" s="51">
        <v>2.4</v>
      </c>
      <c r="K126" s="52">
        <f>I126*J126</f>
        <v>0</v>
      </c>
    </row>
    <row r="127" spans="1:11" ht="15">
      <c r="A127" s="22">
        <v>7</v>
      </c>
      <c r="B127" s="22" t="s">
        <v>120</v>
      </c>
      <c r="C127" s="22" t="s">
        <v>120</v>
      </c>
      <c r="D127" s="22">
        <v>0</v>
      </c>
      <c r="E127" s="22">
        <v>2</v>
      </c>
      <c r="F127" s="34" t="s">
        <v>22</v>
      </c>
      <c r="G127" s="34"/>
      <c r="H127" s="117"/>
      <c r="I127" s="4"/>
      <c r="J127" s="51">
        <v>1.9</v>
      </c>
      <c r="K127" s="52">
        <f>I127*J127</f>
        <v>0</v>
      </c>
    </row>
    <row r="128" spans="1:11" ht="15">
      <c r="A128" s="28"/>
      <c r="B128" s="28"/>
      <c r="C128" s="28"/>
      <c r="D128" s="28"/>
      <c r="E128" s="28"/>
      <c r="F128" s="34" t="s">
        <v>13</v>
      </c>
      <c r="G128" s="34"/>
      <c r="H128" s="34"/>
      <c r="I128" s="50"/>
      <c r="J128" s="28"/>
      <c r="K128" s="52">
        <f>SUM(K126:K127)</f>
        <v>0</v>
      </c>
    </row>
    <row r="129" spans="1:11" ht="15">
      <c r="A129" s="54"/>
      <c r="B129" s="54"/>
      <c r="C129" s="54"/>
      <c r="D129" s="54"/>
      <c r="E129" s="54"/>
      <c r="F129" s="55"/>
      <c r="G129" s="55"/>
      <c r="H129" s="55"/>
      <c r="I129" s="56"/>
      <c r="J129" s="54"/>
      <c r="K129" s="57"/>
    </row>
    <row r="130" ht="15.75" thickBot="1"/>
    <row r="131" spans="1:11" ht="19.5" thickBot="1">
      <c r="A131" s="22" t="s">
        <v>180</v>
      </c>
      <c r="I131" s="61" t="s">
        <v>27</v>
      </c>
      <c r="J131" s="61"/>
      <c r="K131" s="62">
        <f>SUM(K21+K36+K59+K117+K82+K98+K122+K128)</f>
        <v>0</v>
      </c>
    </row>
    <row r="132" spans="1:11" ht="19.5" thickBot="1">
      <c r="A132" s="22" t="s">
        <v>180</v>
      </c>
      <c r="I132" s="205" t="s">
        <v>28</v>
      </c>
      <c r="J132" s="206"/>
      <c r="K132" s="62">
        <f>K131*22/100</f>
        <v>0</v>
      </c>
    </row>
    <row r="133" spans="1:11" ht="19.5" thickBot="1">
      <c r="A133" s="22" t="s">
        <v>180</v>
      </c>
      <c r="I133" s="61" t="s">
        <v>29</v>
      </c>
      <c r="J133" s="61"/>
      <c r="K133" s="62">
        <f>SUM(K131:K132)</f>
        <v>0</v>
      </c>
    </row>
  </sheetData>
  <sheetProtection password="F046" sheet="1"/>
  <mergeCells count="21">
    <mergeCell ref="H1:K1"/>
    <mergeCell ref="G63:G80"/>
    <mergeCell ref="G86:G96"/>
    <mergeCell ref="G4:H4"/>
    <mergeCell ref="G25:G32"/>
    <mergeCell ref="G7:G17"/>
    <mergeCell ref="I132:J132"/>
    <mergeCell ref="F124:K124"/>
    <mergeCell ref="F38:K38"/>
    <mergeCell ref="F61:K61"/>
    <mergeCell ref="G40:G57"/>
    <mergeCell ref="G2:K2"/>
    <mergeCell ref="F119:K119"/>
    <mergeCell ref="G102:G115"/>
    <mergeCell ref="F84:K84"/>
    <mergeCell ref="B2:E3"/>
    <mergeCell ref="B4:E4"/>
    <mergeCell ref="F100:K100"/>
    <mergeCell ref="F5:K5"/>
    <mergeCell ref="F23:K23"/>
    <mergeCell ref="G3:K3"/>
  </mergeCells>
  <conditionalFormatting sqref="G18:G20">
    <cfRule type="cellIs" priority="33" dxfId="7" operator="equal" stopIfTrue="1">
      <formula>0</formula>
    </cfRule>
    <cfRule type="cellIs" priority="34" dxfId="17" operator="equal" stopIfTrue="1">
      <formula>0</formula>
    </cfRule>
    <cfRule type="containsBlanks" priority="109" dxfId="14" stopIfTrue="1">
      <formula>LEN(TRIM(G18))=0</formula>
    </cfRule>
    <cfRule type="notContainsBlanks" priority="110" dxfId="14" stopIfTrue="1">
      <formula>LEN(TRIM(G18))&gt;0</formula>
    </cfRule>
    <cfRule type="containsText" priority="128" dxfId="12" operator="containsText" stopIfTrue="1" text="&quot;&quot;">
      <formula>NOT(ISERROR(SEARCH("""""",G18)))</formula>
    </cfRule>
    <cfRule type="cellIs" priority="129" dxfId="49" operator="between" stopIfTrue="1">
      <formula>700</formula>
      <formula>2099</formula>
    </cfRule>
    <cfRule type="cellIs" priority="130" dxfId="50" operator="lessThan" stopIfTrue="1">
      <formula>700</formula>
    </cfRule>
    <cfRule type="cellIs" priority="131" dxfId="50" operator="lessThan" stopIfTrue="1">
      <formula>500</formula>
    </cfRule>
    <cfRule type="cellIs" priority="132" dxfId="50" operator="greaterThan" stopIfTrue="1">
      <formula>2099</formula>
    </cfRule>
    <cfRule type="cellIs" priority="133" dxfId="50" operator="greaterThan" stopIfTrue="1">
      <formula>2100</formula>
    </cfRule>
  </conditionalFormatting>
  <conditionalFormatting sqref="G33:G35">
    <cfRule type="cellIs" priority="24" dxfId="49" operator="between" stopIfTrue="1">
      <formula>2100</formula>
      <formula>3500</formula>
    </cfRule>
    <cfRule type="cellIs" priority="25" dxfId="50" operator="greaterThan" stopIfTrue="1">
      <formula>3500</formula>
    </cfRule>
    <cfRule type="cellIs" priority="26" dxfId="50" operator="lessThan" stopIfTrue="1">
      <formula>2100</formula>
    </cfRule>
    <cfRule type="cellIs" priority="32" dxfId="7" operator="equal" stopIfTrue="1">
      <formula>0</formula>
    </cfRule>
    <cfRule type="cellIs" priority="35" dxfId="17" operator="equal" stopIfTrue="1">
      <formula>0</formula>
    </cfRule>
    <cfRule type="cellIs" priority="118" dxfId="50" operator="lessThan" stopIfTrue="1">
      <formula>40</formula>
    </cfRule>
    <cfRule type="cellIs" priority="119" dxfId="49" operator="between" stopIfTrue="1">
      <formula>20</formula>
      <formula>100</formula>
    </cfRule>
    <cfRule type="cellIs" priority="120" dxfId="50" operator="lessThan" stopIfTrue="1">
      <formula>20</formula>
    </cfRule>
    <cfRule type="cellIs" priority="121" dxfId="50" operator="greaterThan" stopIfTrue="1">
      <formula>100</formula>
    </cfRule>
    <cfRule type="containsText" priority="122" dxfId="12" operator="containsText" stopIfTrue="1" text="&quot;&quot;">
      <formula>NOT(ISERROR(SEARCH("""""",G33)))</formula>
    </cfRule>
    <cfRule type="cellIs" priority="123" dxfId="49" operator="between" stopIfTrue="1">
      <formula>700</formula>
      <formula>2099</formula>
    </cfRule>
    <cfRule type="cellIs" priority="124" dxfId="50" operator="lessThan" stopIfTrue="1">
      <formula>700</formula>
    </cfRule>
    <cfRule type="cellIs" priority="125" dxfId="50" operator="lessThan" stopIfTrue="1">
      <formula>500</formula>
    </cfRule>
    <cfRule type="cellIs" priority="126" dxfId="50" operator="greaterThan" stopIfTrue="1">
      <formula>2099</formula>
    </cfRule>
    <cfRule type="cellIs" priority="127" dxfId="50" operator="greaterThan" stopIfTrue="1">
      <formula>2100</formula>
    </cfRule>
  </conditionalFormatting>
  <conditionalFormatting sqref="G58">
    <cfRule type="cellIs" priority="8" dxfId="50" operator="greaterThan" stopIfTrue="1">
      <formula>4499</formula>
    </cfRule>
    <cfRule type="cellIs" priority="9" dxfId="50" operator="lessThan" stopIfTrue="1">
      <formula>3100</formula>
    </cfRule>
    <cfRule type="cellIs" priority="10" dxfId="49" operator="between" stopIfTrue="1">
      <formula>3100</formula>
      <formula>4499</formula>
    </cfRule>
    <cfRule type="cellIs" priority="11" dxfId="50" operator="greaterThan" stopIfTrue="1">
      <formula>4300</formula>
    </cfRule>
    <cfRule type="cellIs" priority="12" dxfId="49" operator="greaterThan" stopIfTrue="1">
      <formula>3100</formula>
    </cfRule>
    <cfRule type="cellIs" priority="23" dxfId="50" operator="between" stopIfTrue="1">
      <formula>1</formula>
      <formula>2099</formula>
    </cfRule>
    <cfRule type="cellIs" priority="27" dxfId="50" operator="greaterThan" stopIfTrue="1">
      <formula>3500</formula>
    </cfRule>
    <cfRule type="cellIs" priority="31" dxfId="7" operator="equal" stopIfTrue="1">
      <formula>0</formula>
    </cfRule>
    <cfRule type="cellIs" priority="36" dxfId="17" operator="equal" stopIfTrue="1">
      <formula>0</formula>
    </cfRule>
    <cfRule type="containsText" priority="112" dxfId="12" operator="containsText" stopIfTrue="1" text="&quot;&quot;">
      <formula>NOT(ISERROR(SEARCH("""""",G58)))</formula>
    </cfRule>
    <cfRule type="cellIs" priority="113" dxfId="49" operator="between" stopIfTrue="1">
      <formula>2100</formula>
      <formula>3499</formula>
    </cfRule>
    <cfRule type="cellIs" priority="114" dxfId="50" operator="lessThan" stopIfTrue="1">
      <formula>700</formula>
    </cfRule>
    <cfRule type="cellIs" priority="115" dxfId="50" operator="lessThan" stopIfTrue="1">
      <formula>500</formula>
    </cfRule>
    <cfRule type="cellIs" priority="116" dxfId="50" operator="greaterThan" stopIfTrue="1">
      <formula>2099</formula>
    </cfRule>
    <cfRule type="cellIs" priority="117" dxfId="50" operator="greaterThan" stopIfTrue="1">
      <formula>2100</formula>
    </cfRule>
  </conditionalFormatting>
  <conditionalFormatting sqref="G18:G20">
    <cfRule type="containsText" priority="103" dxfId="12" operator="containsText" stopIfTrue="1" text="&quot;&quot;">
      <formula>NOT(ISERROR(SEARCH("""""",G18)))</formula>
    </cfRule>
    <cfRule type="cellIs" priority="104" dxfId="49" operator="between" stopIfTrue="1">
      <formula>700</formula>
      <formula>2099</formula>
    </cfRule>
    <cfRule type="cellIs" priority="105" dxfId="50" operator="lessThan" stopIfTrue="1">
      <formula>700</formula>
    </cfRule>
    <cfRule type="cellIs" priority="106" dxfId="50" operator="lessThan" stopIfTrue="1">
      <formula>500</formula>
    </cfRule>
    <cfRule type="cellIs" priority="107" dxfId="50" operator="greaterThan" stopIfTrue="1">
      <formula>2099</formula>
    </cfRule>
    <cfRule type="cellIs" priority="108" dxfId="50" operator="greaterThan" stopIfTrue="1">
      <formula>2100</formula>
    </cfRule>
  </conditionalFormatting>
  <conditionalFormatting sqref="G81">
    <cfRule type="cellIs" priority="30" dxfId="7" operator="equal" stopIfTrue="1">
      <formula>0</formula>
    </cfRule>
    <cfRule type="cellIs" priority="37" dxfId="17" operator="equal" stopIfTrue="1">
      <formula>0</formula>
    </cfRule>
    <cfRule type="containsText" priority="97" dxfId="12" operator="containsText" stopIfTrue="1" text="&quot;&quot;">
      <formula>NOT(ISERROR(SEARCH("""""",G81)))</formula>
    </cfRule>
    <cfRule type="cellIs" priority="98" dxfId="49" operator="between" stopIfTrue="1">
      <formula>700</formula>
      <formula>2099</formula>
    </cfRule>
    <cfRule type="cellIs" priority="99" dxfId="50" operator="lessThan" stopIfTrue="1">
      <formula>700</formula>
    </cfRule>
    <cfRule type="cellIs" priority="100" dxfId="50" operator="lessThan" stopIfTrue="1">
      <formula>500</formula>
    </cfRule>
    <cfRule type="cellIs" priority="101" dxfId="50" operator="greaterThan" stopIfTrue="1">
      <formula>2099</formula>
    </cfRule>
    <cfRule type="cellIs" priority="102" dxfId="50" operator="greaterThan" stopIfTrue="1">
      <formula>2100</formula>
    </cfRule>
  </conditionalFormatting>
  <conditionalFormatting sqref="G81">
    <cfRule type="containsBlanks" priority="89" dxfId="14" stopIfTrue="1">
      <formula>LEN(TRIM(G81))=0</formula>
    </cfRule>
    <cfRule type="notContainsBlanks" priority="90" dxfId="14" stopIfTrue="1">
      <formula>LEN(TRIM(G81))&gt;0</formula>
    </cfRule>
    <cfRule type="containsText" priority="91" dxfId="12" operator="containsText" stopIfTrue="1" text="&quot;&quot;">
      <formula>NOT(ISERROR(SEARCH("""""",G81)))</formula>
    </cfRule>
    <cfRule type="cellIs" priority="92" dxfId="49" operator="between" stopIfTrue="1">
      <formula>700</formula>
      <formula>2099</formula>
    </cfRule>
    <cfRule type="cellIs" priority="93" dxfId="50" operator="lessThan" stopIfTrue="1">
      <formula>700</formula>
    </cfRule>
    <cfRule type="cellIs" priority="94" dxfId="50" operator="lessThan" stopIfTrue="1">
      <formula>500</formula>
    </cfRule>
    <cfRule type="cellIs" priority="95" dxfId="50" operator="greaterThan" stopIfTrue="1">
      <formula>2099</formula>
    </cfRule>
    <cfRule type="cellIs" priority="96" dxfId="50" operator="greaterThan" stopIfTrue="1">
      <formula>2100</formula>
    </cfRule>
  </conditionalFormatting>
  <conditionalFormatting sqref="G81">
    <cfRule type="containsText" priority="83" dxfId="12" operator="containsText" stopIfTrue="1" text="&quot;&quot;">
      <formula>NOT(ISERROR(SEARCH("""""",G81)))</formula>
    </cfRule>
    <cfRule type="cellIs" priority="84" dxfId="49" operator="between" stopIfTrue="1">
      <formula>700</formula>
      <formula>2099</formula>
    </cfRule>
    <cfRule type="cellIs" priority="85" dxfId="50" operator="lessThan" stopIfTrue="1">
      <formula>700</formula>
    </cfRule>
    <cfRule type="cellIs" priority="86" dxfId="50" operator="lessThan" stopIfTrue="1">
      <formula>500</formula>
    </cfRule>
    <cfRule type="cellIs" priority="87" dxfId="50" operator="greaterThan" stopIfTrue="1">
      <formula>2099</formula>
    </cfRule>
    <cfRule type="cellIs" priority="88" dxfId="50" operator="greaterThan" stopIfTrue="1">
      <formula>2100</formula>
    </cfRule>
  </conditionalFormatting>
  <conditionalFormatting sqref="G97">
    <cfRule type="cellIs" priority="29" dxfId="7" operator="equal" stopIfTrue="1">
      <formula>0</formula>
    </cfRule>
    <cfRule type="cellIs" priority="39" dxfId="17" operator="equal" stopIfTrue="1">
      <formula>0</formula>
    </cfRule>
    <cfRule type="cellIs" priority="60" dxfId="49" operator="between" stopIfTrue="1">
      <formula>3000</formula>
      <formula>6499</formula>
    </cfRule>
    <cfRule type="cellIs" priority="61" dxfId="50" operator="lessThan" stopIfTrue="1">
      <formula>1000</formula>
    </cfRule>
    <cfRule type="cellIs" priority="62" dxfId="50" operator="greaterThan" stopIfTrue="1">
      <formula>4000</formula>
    </cfRule>
    <cfRule type="containsText" priority="77" dxfId="12" operator="containsText" stopIfTrue="1" text="&quot;&quot;">
      <formula>NOT(ISERROR(SEARCH("""""",G97)))</formula>
    </cfRule>
    <cfRule type="cellIs" priority="78" dxfId="49" operator="between" stopIfTrue="1">
      <formula>700</formula>
      <formula>2099</formula>
    </cfRule>
    <cfRule type="cellIs" priority="79" dxfId="50" operator="lessThan" stopIfTrue="1">
      <formula>700</formula>
    </cfRule>
    <cfRule type="cellIs" priority="80" dxfId="50" operator="lessThan" stopIfTrue="1">
      <formula>500</formula>
    </cfRule>
    <cfRule type="cellIs" priority="81" dxfId="50" operator="greaterThan" stopIfTrue="1">
      <formula>2099</formula>
    </cfRule>
    <cfRule type="cellIs" priority="82" dxfId="50" operator="greaterThan" stopIfTrue="1">
      <formula>2100</formula>
    </cfRule>
  </conditionalFormatting>
  <conditionalFormatting sqref="G97">
    <cfRule type="containsBlanks" priority="69" dxfId="14" stopIfTrue="1">
      <formula>LEN(TRIM(G97))=0</formula>
    </cfRule>
    <cfRule type="notContainsBlanks" priority="70" dxfId="14" stopIfTrue="1">
      <formula>LEN(TRIM(G97))&gt;0</formula>
    </cfRule>
    <cfRule type="containsText" priority="71" dxfId="12" operator="containsText" stopIfTrue="1" text="&quot;&quot;">
      <formula>NOT(ISERROR(SEARCH("""""",G97)))</formula>
    </cfRule>
    <cfRule type="cellIs" priority="72" dxfId="49" operator="between" stopIfTrue="1">
      <formula>700</formula>
      <formula>2099</formula>
    </cfRule>
    <cfRule type="cellIs" priority="73" dxfId="50" operator="lessThan" stopIfTrue="1">
      <formula>700</formula>
    </cfRule>
    <cfRule type="cellIs" priority="74" dxfId="50" operator="lessThan" stopIfTrue="1">
      <formula>500</formula>
    </cfRule>
    <cfRule type="cellIs" priority="75" dxfId="50" operator="greaterThan" stopIfTrue="1">
      <formula>2099</formula>
    </cfRule>
    <cfRule type="cellIs" priority="76" dxfId="50" operator="greaterThan" stopIfTrue="1">
      <formula>2100</formula>
    </cfRule>
  </conditionalFormatting>
  <conditionalFormatting sqref="G97">
    <cfRule type="containsText" priority="63" dxfId="12" operator="containsText" stopIfTrue="1" text="&quot;&quot;">
      <formula>NOT(ISERROR(SEARCH("""""",G97)))</formula>
    </cfRule>
    <cfRule type="cellIs" priority="64" dxfId="49" operator="between" stopIfTrue="1">
      <formula>700</formula>
      <formula>2099</formula>
    </cfRule>
    <cfRule type="cellIs" priority="65" dxfId="50" operator="lessThan" stopIfTrue="1">
      <formula>700</formula>
    </cfRule>
    <cfRule type="cellIs" priority="66" dxfId="50" operator="lessThan" stopIfTrue="1">
      <formula>500</formula>
    </cfRule>
    <cfRule type="cellIs" priority="67" dxfId="50" operator="greaterThan" stopIfTrue="1">
      <formula>2099</formula>
    </cfRule>
    <cfRule type="cellIs" priority="68" dxfId="50" operator="greaterThan" stopIfTrue="1">
      <formula>2100</formula>
    </cfRule>
  </conditionalFormatting>
  <conditionalFormatting sqref="G116">
    <cfRule type="cellIs" priority="28" dxfId="7" operator="equal" stopIfTrue="1">
      <formula>0</formula>
    </cfRule>
    <cfRule type="cellIs" priority="38" dxfId="17" operator="equal" stopIfTrue="1">
      <formula>0</formula>
    </cfRule>
    <cfRule type="containsText" priority="54" dxfId="12" operator="containsText" stopIfTrue="1" text="&quot;&quot;">
      <formula>NOT(ISERROR(SEARCH("""""",G116)))</formula>
    </cfRule>
    <cfRule type="cellIs" priority="55" dxfId="49" operator="between" stopIfTrue="1">
      <formula>700</formula>
      <formula>2099</formula>
    </cfRule>
    <cfRule type="cellIs" priority="56" dxfId="50" operator="lessThan" stopIfTrue="1">
      <formula>700</formula>
    </cfRule>
    <cfRule type="cellIs" priority="57" dxfId="50" operator="lessThan" stopIfTrue="1">
      <formula>500</formula>
    </cfRule>
    <cfRule type="cellIs" priority="58" dxfId="50" operator="greaterThan" stopIfTrue="1">
      <formula>2099</formula>
    </cfRule>
    <cfRule type="cellIs" priority="59" dxfId="50" operator="greaterThan" stopIfTrue="1">
      <formula>2100</formula>
    </cfRule>
  </conditionalFormatting>
  <conditionalFormatting sqref="G116">
    <cfRule type="containsBlanks" priority="46" dxfId="14" stopIfTrue="1">
      <formula>LEN(TRIM(G116))=0</formula>
    </cfRule>
    <cfRule type="notContainsBlanks" priority="47" dxfId="14" stopIfTrue="1">
      <formula>LEN(TRIM(G116))&gt;0</formula>
    </cfRule>
    <cfRule type="containsText" priority="48" dxfId="12" operator="containsText" stopIfTrue="1" text="&quot;&quot;">
      <formula>NOT(ISERROR(SEARCH("""""",G116)))</formula>
    </cfRule>
    <cfRule type="cellIs" priority="49" dxfId="49" operator="between" stopIfTrue="1">
      <formula>700</formula>
      <formula>2099</formula>
    </cfRule>
    <cfRule type="cellIs" priority="50" dxfId="50" operator="lessThan" stopIfTrue="1">
      <formula>700</formula>
    </cfRule>
    <cfRule type="cellIs" priority="51" dxfId="50" operator="lessThan" stopIfTrue="1">
      <formula>500</formula>
    </cfRule>
    <cfRule type="cellIs" priority="52" dxfId="50" operator="greaterThan" stopIfTrue="1">
      <formula>2099</formula>
    </cfRule>
    <cfRule type="cellIs" priority="53" dxfId="50" operator="greaterThan" stopIfTrue="1">
      <formula>2100</formula>
    </cfRule>
  </conditionalFormatting>
  <conditionalFormatting sqref="G116">
    <cfRule type="containsText" priority="40" dxfId="12" operator="containsText" stopIfTrue="1" text="&quot;&quot;">
      <formula>NOT(ISERROR(SEARCH("""""",G116)))</formula>
    </cfRule>
    <cfRule type="cellIs" priority="41" dxfId="49" operator="between" stopIfTrue="1">
      <formula>700</formula>
      <formula>2099</formula>
    </cfRule>
    <cfRule type="cellIs" priority="42" dxfId="50" operator="lessThan" stopIfTrue="1">
      <formula>700</formula>
    </cfRule>
    <cfRule type="cellIs" priority="43" dxfId="50" operator="lessThan" stopIfTrue="1">
      <formula>500</formula>
    </cfRule>
    <cfRule type="cellIs" priority="44" dxfId="50" operator="greaterThan" stopIfTrue="1">
      <formula>2099</formula>
    </cfRule>
    <cfRule type="cellIs" priority="45" dxfId="50" operator="greaterThan" stopIfTrue="1">
      <formula>2100</formula>
    </cfRule>
  </conditionalFormatting>
  <conditionalFormatting sqref="G81">
    <cfRule type="cellIs" priority="13" dxfId="50" operator="between" stopIfTrue="1">
      <formula>1</formula>
      <formula>2099</formula>
    </cfRule>
    <cfRule type="cellIs" priority="14" dxfId="50" operator="greaterThan" stopIfTrue="1">
      <formula>3500</formula>
    </cfRule>
    <cfRule type="cellIs" priority="15" dxfId="7" operator="equal" stopIfTrue="1">
      <formula>0</formula>
    </cfRule>
    <cfRule type="cellIs" priority="16" dxfId="17" operator="equal" stopIfTrue="1">
      <formula>0</formula>
    </cfRule>
    <cfRule type="containsText" priority="17" dxfId="12" operator="containsText" stopIfTrue="1" text="&quot;&quot;">
      <formula>NOT(ISERROR(SEARCH("""""",G81)))</formula>
    </cfRule>
    <cfRule type="cellIs" priority="18" dxfId="49" operator="between" stopIfTrue="1">
      <formula>2100</formula>
      <formula>3499</formula>
    </cfRule>
    <cfRule type="cellIs" priority="19" dxfId="50" operator="lessThan" stopIfTrue="1">
      <formula>700</formula>
    </cfRule>
    <cfRule type="cellIs" priority="20" dxfId="50" operator="lessThan" stopIfTrue="1">
      <formula>500</formula>
    </cfRule>
    <cfRule type="cellIs" priority="21" dxfId="50" operator="greaterThan" stopIfTrue="1">
      <formula>2099</formula>
    </cfRule>
    <cfRule type="cellIs" priority="22" dxfId="50" operator="greaterThan" stopIfTrue="1">
      <formula>2100</formula>
    </cfRule>
  </conditionalFormatting>
  <conditionalFormatting sqref="G20">
    <cfRule type="cellIs" priority="5" dxfId="50" operator="lessThan" stopIfTrue="1">
      <formula>2100</formula>
    </cfRule>
    <cfRule type="cellIs" priority="6" dxfId="49" operator="between" stopIfTrue="1">
      <formula>2100</formula>
      <formula>3499</formula>
    </cfRule>
    <cfRule type="cellIs" priority="7" dxfId="50" operator="greaterThan" stopIfTrue="1">
      <formula>3500</formula>
    </cfRule>
  </conditionalFormatting>
  <conditionalFormatting sqref="G33">
    <cfRule type="cellIs" priority="4" dxfId="49" operator="between" stopIfTrue="1">
      <formula>40</formula>
      <formula>109</formula>
    </cfRule>
  </conditionalFormatting>
  <conditionalFormatting sqref="G34">
    <cfRule type="cellIs" priority="3" dxfId="49" operator="between" stopIfTrue="1">
      <formula>110</formula>
      <formula>179</formula>
    </cfRule>
  </conditionalFormatting>
  <conditionalFormatting sqref="G35">
    <cfRule type="cellIs" priority="1" dxfId="49" operator="between" stopIfTrue="1">
      <formula>180</formula>
      <formula>249</formula>
    </cfRule>
    <cfRule type="cellIs" priority="2" dxfId="50" operator="between" stopIfTrue="1">
      <formula>180</formula>
      <formula>249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B13">
      <selection activeCell="J18" sqref="J18"/>
    </sheetView>
  </sheetViews>
  <sheetFormatPr defaultColWidth="9.140625" defaultRowHeight="15"/>
  <cols>
    <col min="1" max="5" width="3.7109375" style="24" customWidth="1"/>
    <col min="6" max="6" width="52.28125" style="24" customWidth="1"/>
    <col min="7" max="7" width="21.7109375" style="24" bestFit="1" customWidth="1"/>
    <col min="8" max="8" width="19.57421875" style="24" bestFit="1" customWidth="1"/>
    <col min="9" max="9" width="13.28125" style="24" bestFit="1" customWidth="1"/>
    <col min="10" max="10" width="16.28125" style="24" bestFit="1" customWidth="1"/>
    <col min="11" max="16384" width="9.140625" style="24" customWidth="1"/>
  </cols>
  <sheetData>
    <row r="1" spans="1:10" ht="15">
      <c r="A1" s="22">
        <v>0</v>
      </c>
      <c r="B1" s="23" t="s">
        <v>30</v>
      </c>
      <c r="C1" s="23"/>
      <c r="D1" s="23"/>
      <c r="E1" s="23"/>
      <c r="F1" s="23"/>
      <c r="G1" s="23"/>
      <c r="H1" s="194"/>
      <c r="I1" s="212"/>
      <c r="J1" s="213"/>
    </row>
    <row r="2" spans="1:10" ht="14.25" customHeight="1">
      <c r="A2" s="25">
        <v>0</v>
      </c>
      <c r="B2" s="189" t="s">
        <v>179</v>
      </c>
      <c r="C2" s="189"/>
      <c r="D2" s="189"/>
      <c r="E2" s="190"/>
      <c r="F2" s="23" t="s">
        <v>31</v>
      </c>
      <c r="G2" s="183"/>
      <c r="H2" s="184"/>
      <c r="I2" s="184"/>
      <c r="J2" s="185"/>
    </row>
    <row r="3" spans="1:10" ht="15">
      <c r="A3" s="26">
        <v>0</v>
      </c>
      <c r="B3" s="191"/>
      <c r="C3" s="191"/>
      <c r="D3" s="191"/>
      <c r="E3" s="192"/>
      <c r="F3" s="23" t="s">
        <v>32</v>
      </c>
      <c r="G3" s="183"/>
      <c r="H3" s="184"/>
      <c r="I3" s="184"/>
      <c r="J3" s="185"/>
    </row>
    <row r="4" spans="1:10" ht="15">
      <c r="A4" s="27">
        <v>0</v>
      </c>
      <c r="B4" s="193" t="s">
        <v>38</v>
      </c>
      <c r="C4" s="193"/>
      <c r="D4" s="193"/>
      <c r="E4" s="193"/>
      <c r="F4" s="68"/>
      <c r="G4" s="23" t="s">
        <v>33</v>
      </c>
      <c r="H4" s="69"/>
      <c r="I4" s="47" t="s">
        <v>34</v>
      </c>
      <c r="J4" s="76"/>
    </row>
    <row r="5" spans="1:10" ht="15">
      <c r="A5" s="28"/>
      <c r="B5" s="28"/>
      <c r="C5" s="28"/>
      <c r="D5" s="28"/>
      <c r="E5" s="28"/>
      <c r="F5" s="200" t="s">
        <v>69</v>
      </c>
      <c r="G5" s="201"/>
      <c r="H5" s="202"/>
      <c r="I5" s="202"/>
      <c r="J5" s="202"/>
    </row>
    <row r="6" spans="1:10" ht="15" customHeight="1">
      <c r="A6" s="28"/>
      <c r="B6" s="28"/>
      <c r="C6" s="28"/>
      <c r="D6" s="28"/>
      <c r="E6" s="28"/>
      <c r="F6" s="34"/>
      <c r="G6" s="49" t="s">
        <v>39</v>
      </c>
      <c r="H6" s="49" t="s">
        <v>40</v>
      </c>
      <c r="I6" s="49" t="s">
        <v>52</v>
      </c>
      <c r="J6" s="49" t="s">
        <v>1</v>
      </c>
    </row>
    <row r="7" spans="1:10" ht="15">
      <c r="A7" s="22">
        <v>2</v>
      </c>
      <c r="B7" s="22" t="s">
        <v>121</v>
      </c>
      <c r="C7" s="22" t="s">
        <v>125</v>
      </c>
      <c r="D7" s="22">
        <v>0</v>
      </c>
      <c r="E7" s="22">
        <v>4</v>
      </c>
      <c r="F7" s="34" t="s">
        <v>50</v>
      </c>
      <c r="G7" s="3"/>
      <c r="H7" s="4"/>
      <c r="I7" s="64"/>
      <c r="J7" s="52">
        <f aca="true" t="shared" si="0" ref="J7:J12">ROUND(I7*5/100,2)</f>
        <v>0</v>
      </c>
    </row>
    <row r="8" spans="1:10" ht="15">
      <c r="A8" s="22">
        <v>2</v>
      </c>
      <c r="B8" s="22" t="s">
        <v>133</v>
      </c>
      <c r="C8" s="22" t="s">
        <v>125</v>
      </c>
      <c r="D8" s="22">
        <v>0</v>
      </c>
      <c r="E8" s="22">
        <v>1</v>
      </c>
      <c r="F8" s="34" t="s">
        <v>51</v>
      </c>
      <c r="G8" s="3"/>
      <c r="H8" s="4"/>
      <c r="I8" s="64"/>
      <c r="J8" s="52">
        <f t="shared" si="0"/>
        <v>0</v>
      </c>
    </row>
    <row r="9" spans="1:10" ht="15">
      <c r="A9" s="22">
        <v>2</v>
      </c>
      <c r="B9" s="22" t="s">
        <v>124</v>
      </c>
      <c r="C9" s="22" t="s">
        <v>120</v>
      </c>
      <c r="D9" s="22">
        <v>0</v>
      </c>
      <c r="E9" s="22">
        <v>1</v>
      </c>
      <c r="F9" s="34" t="s">
        <v>70</v>
      </c>
      <c r="G9" s="3"/>
      <c r="H9" s="4"/>
      <c r="I9" s="64"/>
      <c r="J9" s="52">
        <f t="shared" si="0"/>
        <v>0</v>
      </c>
    </row>
    <row r="10" spans="1:10" ht="15">
      <c r="A10" s="22">
        <v>2</v>
      </c>
      <c r="B10" s="22" t="s">
        <v>125</v>
      </c>
      <c r="C10" s="22" t="s">
        <v>120</v>
      </c>
      <c r="D10" s="22">
        <v>0</v>
      </c>
      <c r="E10" s="22">
        <v>1</v>
      </c>
      <c r="F10" s="34" t="s">
        <v>71</v>
      </c>
      <c r="G10" s="3"/>
      <c r="H10" s="4"/>
      <c r="I10" s="64"/>
      <c r="J10" s="52">
        <f t="shared" si="0"/>
        <v>0</v>
      </c>
    </row>
    <row r="11" spans="1:10" ht="15">
      <c r="A11" s="22">
        <v>2</v>
      </c>
      <c r="B11" s="22" t="s">
        <v>124</v>
      </c>
      <c r="C11" s="22" t="s">
        <v>121</v>
      </c>
      <c r="D11" s="22">
        <v>0</v>
      </c>
      <c r="E11" s="22">
        <v>1</v>
      </c>
      <c r="F11" s="28" t="s">
        <v>72</v>
      </c>
      <c r="G11" s="9"/>
      <c r="H11" s="4"/>
      <c r="I11" s="64"/>
      <c r="J11" s="52">
        <f t="shared" si="0"/>
        <v>0</v>
      </c>
    </row>
    <row r="12" spans="1:10" ht="15">
      <c r="A12" s="22">
        <v>2</v>
      </c>
      <c r="B12" s="22" t="s">
        <v>125</v>
      </c>
      <c r="C12" s="22" t="s">
        <v>121</v>
      </c>
      <c r="D12" s="22">
        <v>0</v>
      </c>
      <c r="E12" s="22">
        <v>1</v>
      </c>
      <c r="F12" s="28" t="s">
        <v>73</v>
      </c>
      <c r="G12" s="9"/>
      <c r="H12" s="4"/>
      <c r="I12" s="64"/>
      <c r="J12" s="52">
        <f t="shared" si="0"/>
        <v>0</v>
      </c>
    </row>
    <row r="13" spans="1:10" ht="15">
      <c r="A13" s="63"/>
      <c r="B13" s="63"/>
      <c r="C13" s="63"/>
      <c r="D13" s="63"/>
      <c r="E13" s="63"/>
      <c r="F13" s="54"/>
      <c r="G13" s="132"/>
      <c r="H13" s="133"/>
      <c r="I13" s="134"/>
      <c r="J13" s="57"/>
    </row>
    <row r="14" spans="1:10" ht="22.5" customHeight="1">
      <c r="A14" s="28"/>
      <c r="B14" s="28"/>
      <c r="C14" s="28"/>
      <c r="D14" s="28"/>
      <c r="E14" s="28"/>
      <c r="F14" s="34"/>
      <c r="G14" s="49" t="s">
        <v>39</v>
      </c>
      <c r="H14" s="49" t="s">
        <v>40</v>
      </c>
      <c r="I14" s="49" t="s">
        <v>52</v>
      </c>
      <c r="J14" s="49" t="s">
        <v>1</v>
      </c>
    </row>
    <row r="15" spans="1:10" s="54" customFormat="1" ht="30" customHeight="1">
      <c r="A15" s="138">
        <v>2</v>
      </c>
      <c r="B15" s="138" t="s">
        <v>178</v>
      </c>
      <c r="C15" s="138" t="s">
        <v>120</v>
      </c>
      <c r="D15" s="138">
        <v>0</v>
      </c>
      <c r="E15" s="138">
        <v>1</v>
      </c>
      <c r="F15" s="135" t="s">
        <v>261</v>
      </c>
      <c r="G15" s="136"/>
      <c r="H15" s="121"/>
      <c r="I15" s="137"/>
      <c r="J15" s="90">
        <f>ROUND(I15*1.5/100,2)</f>
        <v>0</v>
      </c>
    </row>
    <row r="16" spans="1:10" ht="30" customHeight="1">
      <c r="A16" s="138">
        <v>2</v>
      </c>
      <c r="B16" s="138" t="s">
        <v>178</v>
      </c>
      <c r="C16" s="138" t="s">
        <v>120</v>
      </c>
      <c r="D16" s="138">
        <v>0</v>
      </c>
      <c r="E16" s="138">
        <v>2</v>
      </c>
      <c r="F16" s="135" t="s">
        <v>262</v>
      </c>
      <c r="G16" s="136"/>
      <c r="H16" s="121"/>
      <c r="I16" s="137"/>
      <c r="J16" s="90">
        <f>ROUND(H16*6.44,2)</f>
        <v>0</v>
      </c>
    </row>
    <row r="17" spans="1:10" ht="23.25" customHeight="1" thickBot="1">
      <c r="A17" s="63"/>
      <c r="B17" s="63"/>
      <c r="C17" s="63"/>
      <c r="D17" s="63"/>
      <c r="E17" s="63"/>
      <c r="F17" s="54"/>
      <c r="G17" s="132"/>
      <c r="H17" s="133"/>
      <c r="I17" s="134"/>
      <c r="J17" s="57"/>
    </row>
    <row r="18" spans="1:10" ht="19.5" thickBot="1">
      <c r="A18" s="22" t="s">
        <v>180</v>
      </c>
      <c r="H18" s="234" t="s">
        <v>13</v>
      </c>
      <c r="I18" s="235"/>
      <c r="J18" s="62">
        <f>J7+J8+J9+J10+J11+J12+J15+J16</f>
        <v>0</v>
      </c>
    </row>
    <row r="19" spans="1:10" ht="19.5" thickBot="1">
      <c r="A19" s="22" t="s">
        <v>180</v>
      </c>
      <c r="H19" s="234" t="s">
        <v>28</v>
      </c>
      <c r="I19" s="235"/>
      <c r="J19" s="62">
        <f>J18*22/100</f>
        <v>0</v>
      </c>
    </row>
    <row r="20" spans="1:10" ht="19.5" thickBot="1">
      <c r="A20" s="22" t="s">
        <v>180</v>
      </c>
      <c r="H20" s="65" t="s">
        <v>29</v>
      </c>
      <c r="I20" s="65"/>
      <c r="J20" s="62">
        <f>SUM(J18:J19)</f>
        <v>0</v>
      </c>
    </row>
    <row r="24" spans="3:9" ht="15">
      <c r="C24" s="225" t="s">
        <v>264</v>
      </c>
      <c r="D24" s="226"/>
      <c r="E24" s="226"/>
      <c r="F24" s="226"/>
      <c r="G24" s="226"/>
      <c r="H24" s="226"/>
      <c r="I24" s="227"/>
    </row>
    <row r="25" spans="3:9" ht="15">
      <c r="C25" s="228"/>
      <c r="D25" s="229"/>
      <c r="E25" s="229"/>
      <c r="F25" s="229"/>
      <c r="G25" s="229"/>
      <c r="H25" s="229"/>
      <c r="I25" s="230"/>
    </row>
    <row r="26" spans="3:9" ht="15">
      <c r="C26" s="228"/>
      <c r="D26" s="229"/>
      <c r="E26" s="229"/>
      <c r="F26" s="229"/>
      <c r="G26" s="229"/>
      <c r="H26" s="229"/>
      <c r="I26" s="230"/>
    </row>
    <row r="27" spans="3:9" ht="15">
      <c r="C27" s="228"/>
      <c r="D27" s="229"/>
      <c r="E27" s="229"/>
      <c r="F27" s="229"/>
      <c r="G27" s="229"/>
      <c r="H27" s="229"/>
      <c r="I27" s="230"/>
    </row>
    <row r="28" spans="3:9" ht="15">
      <c r="C28" s="228"/>
      <c r="D28" s="229"/>
      <c r="E28" s="229"/>
      <c r="F28" s="229"/>
      <c r="G28" s="229"/>
      <c r="H28" s="229"/>
      <c r="I28" s="230"/>
    </row>
    <row r="29" spans="3:9" ht="15">
      <c r="C29" s="228"/>
      <c r="D29" s="229"/>
      <c r="E29" s="229"/>
      <c r="F29" s="229"/>
      <c r="G29" s="229"/>
      <c r="H29" s="229"/>
      <c r="I29" s="230"/>
    </row>
    <row r="30" spans="3:9" ht="15">
      <c r="C30" s="228"/>
      <c r="D30" s="229"/>
      <c r="E30" s="229"/>
      <c r="F30" s="229"/>
      <c r="G30" s="229"/>
      <c r="H30" s="229"/>
      <c r="I30" s="230"/>
    </row>
    <row r="31" spans="3:9" ht="15">
      <c r="C31" s="228"/>
      <c r="D31" s="229"/>
      <c r="E31" s="229"/>
      <c r="F31" s="229"/>
      <c r="G31" s="229"/>
      <c r="H31" s="229"/>
      <c r="I31" s="230"/>
    </row>
    <row r="32" spans="3:9" ht="15">
      <c r="C32" s="228"/>
      <c r="D32" s="229"/>
      <c r="E32" s="229"/>
      <c r="F32" s="229"/>
      <c r="G32" s="229"/>
      <c r="H32" s="229"/>
      <c r="I32" s="230"/>
    </row>
    <row r="33" spans="3:9" ht="15">
      <c r="C33" s="231"/>
      <c r="D33" s="232"/>
      <c r="E33" s="232"/>
      <c r="F33" s="232"/>
      <c r="G33" s="232"/>
      <c r="H33" s="232"/>
      <c r="I33" s="233"/>
    </row>
  </sheetData>
  <sheetProtection password="F046" sheet="1"/>
  <mergeCells count="9">
    <mergeCell ref="C24:I33"/>
    <mergeCell ref="H1:J1"/>
    <mergeCell ref="H19:I19"/>
    <mergeCell ref="G3:J3"/>
    <mergeCell ref="B4:E4"/>
    <mergeCell ref="F5:J5"/>
    <mergeCell ref="B2:E3"/>
    <mergeCell ref="G2:J2"/>
    <mergeCell ref="H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Nanni Diego</dc:creator>
  <cp:keywords/>
  <dc:description/>
  <cp:lastModifiedBy>salvini</cp:lastModifiedBy>
  <cp:lastPrinted>2012-02-28T10:40:13Z</cp:lastPrinted>
  <dcterms:created xsi:type="dcterms:W3CDTF">2010-01-18T10:50:13Z</dcterms:created>
  <dcterms:modified xsi:type="dcterms:W3CDTF">2014-03-25T08:22:46Z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